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comments6.xml" ContentType="application/vnd.openxmlformats-officedocument.spreadsheetml.comments+xml"/>
  <Override PartName="/xl/drawings/drawing16.xml" ContentType="application/vnd.openxmlformats-officedocument.drawing+xml"/>
  <Override PartName="/xl/comments7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8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9.xml" ContentType="application/vnd.openxmlformats-officedocument.spreadsheetml.comments+xml"/>
  <Override PartName="/xl/drawings/drawing22.xml" ContentType="application/vnd.openxmlformats-officedocument.drawing+xml"/>
  <Override PartName="/xl/comments10.xml" ContentType="application/vnd.openxmlformats-officedocument.spreadsheetml.comment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11.xml" ContentType="application/vnd.openxmlformats-officedocument.spreadsheetml.comments+xml"/>
  <Override PartName="/xl/drawings/drawing25.xml" ContentType="application/vnd.openxmlformats-officedocument.drawing+xml"/>
  <Override PartName="/xl/comments12.xml" ContentType="application/vnd.openxmlformats-officedocument.spreadsheetml.comments+xml"/>
  <Override PartName="/xl/drawings/drawing26.xml" ContentType="application/vnd.openxmlformats-officedocument.drawing+xml"/>
  <Override PartName="/xl/comments13.xml" ContentType="application/vnd.openxmlformats-officedocument.spreadsheetml.comments+xml"/>
  <Override PartName="/xl/drawings/drawing27.xml" ContentType="application/vnd.openxmlformats-officedocument.drawing+xml"/>
  <Override PartName="/xl/comments14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15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תוכנית עבודה 2023\הצעת תקציב 2023\"/>
    </mc:Choice>
  </mc:AlternateContent>
  <bookViews>
    <workbookView xWindow="0" yWindow="0" windowWidth="24000" windowHeight="9108"/>
  </bookViews>
  <sheets>
    <sheet name="כותרת" sheetId="348" r:id="rId1"/>
    <sheet name="תוכן ענינים" sheetId="46" r:id="rId2"/>
    <sheet name="מבוא" sheetId="350" r:id="rId3"/>
    <sheet name="תקציב 2022 " sheetId="351" r:id="rId4"/>
    <sheet name="תקציב 2023 " sheetId="352" r:id="rId5"/>
    <sheet name="תקציב 2023 פרקים " sheetId="353" r:id="rId6"/>
    <sheet name="תקציב 2023  אגפים " sheetId="354" r:id="rId7"/>
    <sheet name="תקציב 2023  מקורות " sheetId="355" r:id="rId8"/>
    <sheet name="תקציב 2023 קרנות הרשות " sheetId="356" r:id="rId9"/>
    <sheet name="תקציב 2023 מקורות אחרים " sheetId="357" r:id="rId10"/>
    <sheet name="תרשים אגפים" sheetId="399" r:id="rId11"/>
    <sheet name="ריכוז אגפים " sheetId="358" r:id="rId12"/>
    <sheet name="תרשים פרקים" sheetId="400" r:id="rId13"/>
    <sheet name="ריכוז פרקים " sheetId="359" r:id="rId14"/>
    <sheet name="פרוט מקורות אחרים " sheetId="361" r:id="rId15"/>
    <sheet name="תרשים מקורות מימון" sheetId="401" r:id="rId16"/>
    <sheet name="הנדסה 2023 " sheetId="362" r:id="rId17"/>
    <sheet name="הנדסה 2023  " sheetId="363" r:id="rId18"/>
    <sheet name="תקציב הנדסה 2023 " sheetId="365" r:id="rId19"/>
    <sheet name="החברה לפיתוח 2023 " sheetId="366" r:id="rId20"/>
    <sheet name="החב. לפיתוח 2023 " sheetId="367" r:id="rId21"/>
    <sheet name="תקציב החברה לפיתוח 2023 " sheetId="368" r:id="rId22"/>
    <sheet name="תקציב החברה לפיתוח 2023 תאור" sheetId="369" r:id="rId23"/>
    <sheet name="מינהל תפעול 2023 " sheetId="370" r:id="rId24"/>
    <sheet name="מינהל תפעול  2023 " sheetId="371" r:id="rId25"/>
    <sheet name="תקציב מינהל תפעול 2023  " sheetId="372" r:id="rId26"/>
    <sheet name="תקציב מינהל תפעול 2023 תאור " sheetId="373" r:id="rId27"/>
    <sheet name="מינהל חינוך 2023 " sheetId="374" r:id="rId28"/>
    <sheet name="תקציב מינהל חינוך 2023 " sheetId="375" r:id="rId29"/>
    <sheet name="אגף תנוס 2023 " sheetId="376" r:id="rId30"/>
    <sheet name="תקציב אגף תנוס 2023  " sheetId="377" r:id="rId31"/>
    <sheet name="החברה לתירות 2023 " sheetId="378" r:id="rId32"/>
    <sheet name="תקציב החברה לתירות 2023 " sheetId="379" r:id="rId33"/>
    <sheet name="אגף תקשוב ומע. מידע 2023 " sheetId="380" r:id="rId34"/>
    <sheet name="תקציב אגף המיחשוב 2023 " sheetId="381" r:id="rId35"/>
    <sheet name="אגף נכסים וביטוח 2023 " sheetId="382" r:id="rId36"/>
    <sheet name="תקציב אגף נכסים וביטוח 2023" sheetId="383" r:id="rId37"/>
    <sheet name="מינהל כללי 2023 " sheetId="384" r:id="rId38"/>
    <sheet name="תקציב מינהל כללי 2023  " sheetId="385" r:id="rId39"/>
    <sheet name="תקציב מינהל כללי 2023  תאור " sheetId="386" r:id="rId40"/>
    <sheet name="תקציב 2022 - ביצוע" sheetId="63" r:id="rId41"/>
    <sheet name="ריכוז אגפים 2022 " sheetId="387" r:id="rId42"/>
    <sheet name="תקציב הנדסה 2022  " sheetId="388" r:id="rId43"/>
    <sheet name="תקציב החברה לפיתוח 2022 " sheetId="389" r:id="rId44"/>
    <sheet name="תקציב מינהל תפעול 2022 " sheetId="390" r:id="rId45"/>
    <sheet name="תקציב אגף חינוך 2022 " sheetId="391" r:id="rId46"/>
    <sheet name="תקציב אגף תנוס 2022 " sheetId="392" r:id="rId47"/>
    <sheet name="תקציב החברה לתירות 2022  " sheetId="393" r:id="rId48"/>
    <sheet name="תקציב אגף המיחשוב 2022 " sheetId="394" r:id="rId49"/>
    <sheet name="תקציב אגף נכסים וביטוח 2022" sheetId="395" r:id="rId50"/>
    <sheet name="תקציב מינהל כללי 2022 " sheetId="396" r:id="rId51"/>
    <sheet name="ריכוז תקציב מעבר לתוכנית 2022 " sheetId="397" r:id="rId52"/>
    <sheet name="פרויקטים החב. לפיתוח " sheetId="176" r:id="rId53"/>
  </sheets>
  <externalReferences>
    <externalReference r:id="rId54"/>
    <externalReference r:id="rId55"/>
    <externalReference r:id="rId56"/>
    <externalReference r:id="rId57"/>
  </externalReferences>
  <definedNames>
    <definedName name="_xlnm._FilterDatabase" localSheetId="45" hidden="1">'תקציב אגף חינוך 2022 '!$A$4:$AC$15</definedName>
    <definedName name="_xlnm._FilterDatabase" localSheetId="43" hidden="1">'תקציב החברה לפיתוח 2022 '!$A$4:$AR$130</definedName>
    <definedName name="_xlnm._FilterDatabase" localSheetId="21" hidden="1">'תקציב החברה לפיתוח 2023 '!$A$4:$AD$122</definedName>
    <definedName name="_xlnm._FilterDatabase" localSheetId="22" hidden="1">'תקציב החברה לפיתוח 2023 תאור'!$A$4:$AD$122</definedName>
    <definedName name="_xlnm._FilterDatabase" localSheetId="42" hidden="1">'תקציב הנדסה 2022  '!$A$4:$AK$57</definedName>
    <definedName name="_xlnm._FilterDatabase" localSheetId="18" hidden="1">'תקציב הנדסה 2023 '!$A$4:$AD$65</definedName>
    <definedName name="_xlnm._FilterDatabase" localSheetId="28" hidden="1">'תקציב מינהל חינוך 2023 '!$A$1:$AX$25</definedName>
    <definedName name="_xlnm._FilterDatabase" localSheetId="44" hidden="1">'תקציב מינהל תפעול 2022 '!$A$1:$AT$142</definedName>
    <definedName name="_xlnm._FilterDatabase" localSheetId="25" hidden="1">'תקציב מינהל תפעול 2023  '!$A$1:$AI$112</definedName>
    <definedName name="_xlnm._FilterDatabase" localSheetId="26" hidden="1">'תקציב מינהל תפעול 2023 תאור '!$A$1:$AI$112</definedName>
    <definedName name="_xlnm.Print_Area" localSheetId="14">'פרוט מקורות אחרים '!$A$1:$O$13</definedName>
    <definedName name="_xlnm.Print_Area" localSheetId="11">'ריכוז אגפים '!$A$1:$Y$16</definedName>
    <definedName name="_xlnm.Print_Area" localSheetId="41">'ריכוז אגפים 2022 '!$A$1:$AP$16</definedName>
    <definedName name="_xlnm.Print_Area" localSheetId="13">'ריכוז פרקים '!$A$1:$Y$20</definedName>
    <definedName name="_xlnm.Print_Area" localSheetId="51">'ריכוז תקציב מעבר לתוכנית 2022 '!$C$1:$AM$100</definedName>
    <definedName name="_xlnm.Print_Area" localSheetId="8">'תקציב 2023 קרנות הרשות '!$A$1:$H$21</definedName>
    <definedName name="_xlnm.Print_Area" localSheetId="48">'תקציב אגף המיחשוב 2022 '!$A$1:$AZ$14</definedName>
    <definedName name="_xlnm.Print_Area" localSheetId="34">'תקציב אגף המיחשוב 2023 '!$A$1:$AB$17</definedName>
    <definedName name="_xlnm.Print_Area" localSheetId="45">'תקציב אגף חינוך 2022 '!$A$1:$AT$28</definedName>
    <definedName name="_xlnm.Print_Area" localSheetId="49">'תקציב אגף נכסים וביטוח 2022'!$A$1:$AT$17</definedName>
    <definedName name="_xlnm.Print_Area" localSheetId="36">'תקציב אגף נכסים וביטוח 2023'!$A$1:$AB$17</definedName>
    <definedName name="_xlnm.Print_Area" localSheetId="46">'תקציב אגף תנוס 2022 '!$A$1:$AT$15</definedName>
    <definedName name="_xlnm.Print_Area" localSheetId="30">'תקציב אגף תנוס 2023  '!$A$1:$AB$15</definedName>
    <definedName name="_xlnm.Print_Area" localSheetId="43">'תקציב החברה לפיתוח 2022 '!$A$1:$AT$129</definedName>
    <definedName name="_xlnm.Print_Area" localSheetId="21">'תקציב החברה לפיתוח 2023 '!$A$1:$AA$123</definedName>
    <definedName name="_xlnm.Print_Area" localSheetId="22">'תקציב החברה לפיתוח 2023 תאור'!$A$1:$AB$123</definedName>
    <definedName name="_xlnm.Print_Area" localSheetId="47">'תקציב החברה לתירות 2022  '!$A$1:$AT$10</definedName>
    <definedName name="_xlnm.Print_Area" localSheetId="32">'תקציב החברה לתירות 2023 '!$A$1:$AB$7</definedName>
    <definedName name="_xlnm.Print_Area" localSheetId="42">'תקציב הנדסה 2022  '!$A$1:$AT$77</definedName>
    <definedName name="_xlnm.Print_Area" localSheetId="18">'תקציב הנדסה 2023 '!$A$1:$AB$73</definedName>
    <definedName name="_xlnm.Print_Area" localSheetId="28">'תקציב מינהל חינוך 2023 '!$A$1:$AB$23</definedName>
    <definedName name="_xlnm.Print_Area" localSheetId="50">'תקציב מינהל כללי 2022 '!$A$1:$AT$14</definedName>
    <definedName name="_xlnm.Print_Area" localSheetId="38">'תקציב מינהל כללי 2023  '!$A$1:$AB$30</definedName>
    <definedName name="_xlnm.Print_Area" localSheetId="39">'תקציב מינהל כללי 2023  תאור '!$A$1:$AB$30</definedName>
    <definedName name="_xlnm.Print_Area" localSheetId="44">'תקציב מינהל תפעול 2022 '!$A$1:$AT$127</definedName>
    <definedName name="_xlnm.Print_Area" localSheetId="25">'תקציב מינהל תפעול 2023  '!$A$1:$AB$110</definedName>
    <definedName name="_xlnm.Print_Area" localSheetId="26">'תקציב מינהל תפעול 2023 תאור '!$A$1:$AB$110</definedName>
    <definedName name="_xlnm.Print_Titles" localSheetId="52">'פרויקטים החב. לפיתוח '!$2:$5</definedName>
    <definedName name="_xlnm.Print_Titles" localSheetId="11">'ריכוז אגפים '!$2:$5</definedName>
    <definedName name="_xlnm.Print_Titles" localSheetId="41">'ריכוז אגפים 2022 '!$2:$5</definedName>
    <definedName name="_xlnm.Print_Titles" localSheetId="13">'ריכוז פרקים '!$2:$5</definedName>
    <definedName name="_xlnm.Print_Titles" localSheetId="51">'ריכוז תקציב מעבר לתוכנית 2022 '!$2:$5</definedName>
    <definedName name="_xlnm.Print_Titles" localSheetId="48">'תקציב אגף המיחשוב 2022 '!$2:$4</definedName>
    <definedName name="_xlnm.Print_Titles" localSheetId="34">'תקציב אגף המיחשוב 2023 '!$4:$4</definedName>
    <definedName name="_xlnm.Print_Titles" localSheetId="45">'תקציב אגף חינוך 2022 '!$1:$4</definedName>
    <definedName name="_xlnm.Print_Titles" localSheetId="49">'תקציב אגף נכסים וביטוח 2022'!$1:$4</definedName>
    <definedName name="_xlnm.Print_Titles" localSheetId="36">'תקציב אגף נכסים וביטוח 2023'!$1:$4</definedName>
    <definedName name="_xlnm.Print_Titles" localSheetId="46">'תקציב אגף תנוס 2022 '!$1:$4</definedName>
    <definedName name="_xlnm.Print_Titles" localSheetId="30">'תקציב אגף תנוס 2023  '!$1:$4</definedName>
    <definedName name="_xlnm.Print_Titles" localSheetId="43">'תקציב החברה לפיתוח 2022 '!$1:$4</definedName>
    <definedName name="_xlnm.Print_Titles" localSheetId="21">'תקציב החברה לפיתוח 2023 '!$1:$4</definedName>
    <definedName name="_xlnm.Print_Titles" localSheetId="22">'תקציב החברה לפיתוח 2023 תאור'!$1:$4</definedName>
    <definedName name="_xlnm.Print_Titles" localSheetId="47">'תקציב החברה לתירות 2022  '!$1:$4</definedName>
    <definedName name="_xlnm.Print_Titles" localSheetId="32">'תקציב החברה לתירות 2023 '!$1:$4</definedName>
    <definedName name="_xlnm.Print_Titles" localSheetId="42">'תקציב הנדסה 2022  '!$1:$4</definedName>
    <definedName name="_xlnm.Print_Titles" localSheetId="18">'תקציב הנדסה 2023 '!$1:$4</definedName>
    <definedName name="_xlnm.Print_Titles" localSheetId="28">'תקציב מינהל חינוך 2023 '!$1:$4</definedName>
    <definedName name="_xlnm.Print_Titles" localSheetId="50">'תקציב מינהל כללי 2022 '!$1:$4</definedName>
    <definedName name="_xlnm.Print_Titles" localSheetId="38">'תקציב מינהל כללי 2023  '!$1:$4</definedName>
    <definedName name="_xlnm.Print_Titles" localSheetId="39">'תקציב מינהל כללי 2023  תאור '!$1:$4</definedName>
    <definedName name="_xlnm.Print_Titles" localSheetId="44">'תקציב מינהל תפעול 2022 '!$2:$4</definedName>
    <definedName name="_xlnm.Print_Titles" localSheetId="25">'תקציב מינהל תפעול 2023  '!$2:$4</definedName>
    <definedName name="_xlnm.Print_Titles" localSheetId="26">'תקציב מינהל תפעול 2023 תאור '!$2:$4</definedName>
    <definedName name="Z_A9E2E6B4_8EA3_4931_885C_2FCCB5ED2D6B_.wvu.FilterData" localSheetId="43" hidden="1">'תקציב החברה לפיתוח 2022 '!$A$4:$AR$130</definedName>
    <definedName name="Z_A9E2E6B4_8EA3_4931_885C_2FCCB5ED2D6B_.wvu.FilterData" localSheetId="21" hidden="1">'תקציב החברה לפיתוח 2023 '!$A$4:$AD$122</definedName>
    <definedName name="Z_A9E2E6B4_8EA3_4931_885C_2FCCB5ED2D6B_.wvu.FilterData" localSheetId="22" hidden="1">'תקציב החברה לפיתוח 2023 תאור'!$A$4:$AD$122</definedName>
    <definedName name="Z_A9E2E6B4_8EA3_4931_885C_2FCCB5ED2D6B_.wvu.PrintTitles" localSheetId="43" hidden="1">'תקציב החברה לפיתוח 2022 '!$1:$4</definedName>
    <definedName name="Z_A9E2E6B4_8EA3_4931_885C_2FCCB5ED2D6B_.wvu.PrintTitles" localSheetId="21" hidden="1">'תקציב החברה לפיתוח 2023 '!$1:$4</definedName>
    <definedName name="Z_A9E2E6B4_8EA3_4931_885C_2FCCB5ED2D6B_.wvu.PrintTitles" localSheetId="22" hidden="1">'תקציב החברה לפיתוח 2023 תאור'!$1:$4</definedName>
  </definedNames>
  <calcPr calcId="162913"/>
</workbook>
</file>

<file path=xl/calcChain.xml><?xml version="1.0" encoding="utf-8"?>
<calcChain xmlns="http://schemas.openxmlformats.org/spreadsheetml/2006/main">
  <c r="W110" i="397" l="1"/>
  <c r="V110" i="397"/>
  <c r="U110" i="397"/>
  <c r="T110" i="397"/>
  <c r="S110" i="397"/>
  <c r="R110" i="397"/>
  <c r="Q110" i="397"/>
  <c r="P110" i="397"/>
  <c r="O110" i="397"/>
  <c r="N110" i="397"/>
  <c r="M110" i="397"/>
  <c r="L110" i="397"/>
  <c r="K110" i="397"/>
  <c r="J110" i="397"/>
  <c r="I110" i="397"/>
  <c r="H110" i="397"/>
  <c r="G110" i="397"/>
  <c r="F110" i="397"/>
  <c r="C110" i="397"/>
  <c r="W109" i="397"/>
  <c r="V109" i="397"/>
  <c r="U109" i="397"/>
  <c r="T109" i="397"/>
  <c r="S109" i="397"/>
  <c r="R109" i="397"/>
  <c r="Q109" i="397"/>
  <c r="P109" i="397"/>
  <c r="O109" i="397"/>
  <c r="N109" i="397"/>
  <c r="M109" i="397"/>
  <c r="L109" i="397"/>
  <c r="K109" i="397"/>
  <c r="J109" i="397"/>
  <c r="I109" i="397"/>
  <c r="H109" i="397"/>
  <c r="G109" i="397"/>
  <c r="F109" i="397"/>
  <c r="C109" i="397"/>
  <c r="W108" i="397"/>
  <c r="V108" i="397"/>
  <c r="U108" i="397"/>
  <c r="T108" i="397"/>
  <c r="S108" i="397"/>
  <c r="R108" i="397"/>
  <c r="Q108" i="397"/>
  <c r="P108" i="397"/>
  <c r="O108" i="397"/>
  <c r="N108" i="397"/>
  <c r="M108" i="397"/>
  <c r="L108" i="397"/>
  <c r="K108" i="397"/>
  <c r="J108" i="397"/>
  <c r="I108" i="397"/>
  <c r="H108" i="397"/>
  <c r="G108" i="397"/>
  <c r="F108" i="397"/>
  <c r="C108" i="397"/>
  <c r="W107" i="397"/>
  <c r="V107" i="397"/>
  <c r="U107" i="397"/>
  <c r="T107" i="397"/>
  <c r="S107" i="397"/>
  <c r="R107" i="397"/>
  <c r="Q107" i="397"/>
  <c r="P107" i="397"/>
  <c r="O107" i="397"/>
  <c r="N107" i="397"/>
  <c r="M107" i="397"/>
  <c r="L107" i="397"/>
  <c r="K107" i="397"/>
  <c r="J107" i="397"/>
  <c r="I107" i="397"/>
  <c r="H107" i="397"/>
  <c r="G107" i="397"/>
  <c r="F107" i="397"/>
  <c r="C107" i="397"/>
  <c r="W106" i="397"/>
  <c r="V106" i="397"/>
  <c r="U106" i="397"/>
  <c r="T106" i="397"/>
  <c r="S106" i="397"/>
  <c r="R106" i="397"/>
  <c r="Q106" i="397"/>
  <c r="P106" i="397"/>
  <c r="O106" i="397"/>
  <c r="N106" i="397"/>
  <c r="M106" i="397"/>
  <c r="L106" i="397"/>
  <c r="K106" i="397"/>
  <c r="J106" i="397"/>
  <c r="I106" i="397"/>
  <c r="H106" i="397"/>
  <c r="G106" i="397"/>
  <c r="F106" i="397"/>
  <c r="C106" i="397"/>
  <c r="W105" i="397"/>
  <c r="V105" i="397"/>
  <c r="U105" i="397"/>
  <c r="T105" i="397"/>
  <c r="S105" i="397"/>
  <c r="R105" i="397"/>
  <c r="Q105" i="397"/>
  <c r="P105" i="397"/>
  <c r="O105" i="397"/>
  <c r="N105" i="397"/>
  <c r="M105" i="397"/>
  <c r="L105" i="397"/>
  <c r="K105" i="397"/>
  <c r="J105" i="397"/>
  <c r="I105" i="397"/>
  <c r="H105" i="397"/>
  <c r="G105" i="397"/>
  <c r="F105" i="397"/>
  <c r="C105" i="397"/>
  <c r="W104" i="397"/>
  <c r="V104" i="397"/>
  <c r="U104" i="397"/>
  <c r="T104" i="397"/>
  <c r="S104" i="397"/>
  <c r="R104" i="397"/>
  <c r="Q104" i="397"/>
  <c r="P104" i="397"/>
  <c r="O104" i="397"/>
  <c r="N104" i="397"/>
  <c r="M104" i="397"/>
  <c r="L104" i="397"/>
  <c r="K104" i="397"/>
  <c r="J104" i="397"/>
  <c r="I104" i="397"/>
  <c r="H104" i="397"/>
  <c r="G104" i="397"/>
  <c r="F104" i="397"/>
  <c r="C104" i="397"/>
  <c r="W103" i="397"/>
  <c r="V103" i="397"/>
  <c r="U103" i="397"/>
  <c r="T103" i="397"/>
  <c r="S103" i="397"/>
  <c r="R103" i="397"/>
  <c r="Q103" i="397"/>
  <c r="P103" i="397"/>
  <c r="O103" i="397"/>
  <c r="N103" i="397"/>
  <c r="M103" i="397"/>
  <c r="L103" i="397"/>
  <c r="K103" i="397"/>
  <c r="J103" i="397"/>
  <c r="I103" i="397"/>
  <c r="H103" i="397"/>
  <c r="G103" i="397"/>
  <c r="F103" i="397"/>
  <c r="C103" i="397"/>
  <c r="W102" i="397"/>
  <c r="V102" i="397"/>
  <c r="U102" i="397"/>
  <c r="T102" i="397"/>
  <c r="S102" i="397"/>
  <c r="R102" i="397"/>
  <c r="Q102" i="397"/>
  <c r="P102" i="397"/>
  <c r="O102" i="397"/>
  <c r="N102" i="397"/>
  <c r="M102" i="397"/>
  <c r="L102" i="397"/>
  <c r="K102" i="397"/>
  <c r="J102" i="397"/>
  <c r="I102" i="397"/>
  <c r="H102" i="397"/>
  <c r="G102" i="397"/>
  <c r="F102" i="397"/>
  <c r="C102" i="397"/>
  <c r="AD101" i="397"/>
  <c r="AP98" i="397"/>
  <c r="AO98" i="397"/>
  <c r="S98" i="397"/>
  <c r="L98" i="397"/>
  <c r="K98" i="397"/>
  <c r="J98" i="397"/>
  <c r="J100" i="397" s="1"/>
  <c r="I98" i="397"/>
  <c r="G98" i="397"/>
  <c r="F98" i="397"/>
  <c r="C98" i="397"/>
  <c r="AN97" i="397"/>
  <c r="AN98" i="397" s="1"/>
  <c r="O97" i="397"/>
  <c r="O98" i="397" s="1"/>
  <c r="N97" i="397"/>
  <c r="N98" i="397" s="1"/>
  <c r="M97" i="397"/>
  <c r="M98" i="397" s="1"/>
  <c r="H97" i="397"/>
  <c r="H98" i="397" s="1"/>
  <c r="AP94" i="397"/>
  <c r="AO94" i="397"/>
  <c r="S94" i="397"/>
  <c r="O94" i="397"/>
  <c r="M94" i="397"/>
  <c r="L94" i="397"/>
  <c r="K94" i="397"/>
  <c r="J94" i="397"/>
  <c r="I94" i="397"/>
  <c r="G94" i="397"/>
  <c r="F94" i="397"/>
  <c r="C94" i="397"/>
  <c r="AN93" i="397"/>
  <c r="Q93" i="397"/>
  <c r="R93" i="397" s="1"/>
  <c r="P93" i="397"/>
  <c r="P94" i="397" s="1"/>
  <c r="N93" i="397"/>
  <c r="N94" i="397" s="1"/>
  <c r="M93" i="397"/>
  <c r="H93" i="397"/>
  <c r="H94" i="397" s="1"/>
  <c r="AN92" i="397"/>
  <c r="AP90" i="397"/>
  <c r="AO90" i="397"/>
  <c r="S90" i="397"/>
  <c r="L90" i="397"/>
  <c r="K90" i="397"/>
  <c r="J90" i="397"/>
  <c r="I90" i="397"/>
  <c r="G90" i="397"/>
  <c r="F90" i="397"/>
  <c r="C90" i="397"/>
  <c r="AN89" i="397"/>
  <c r="AN90" i="397" s="1"/>
  <c r="P89" i="397"/>
  <c r="P90" i="397" s="1"/>
  <c r="O89" i="397"/>
  <c r="O90" i="397" s="1"/>
  <c r="N89" i="397"/>
  <c r="N90" i="397" s="1"/>
  <c r="M89" i="397"/>
  <c r="M90" i="397" s="1"/>
  <c r="H89" i="397"/>
  <c r="H90" i="397" s="1"/>
  <c r="AP86" i="397"/>
  <c r="AO86" i="397"/>
  <c r="S86" i="397"/>
  <c r="O86" i="397"/>
  <c r="L86" i="397"/>
  <c r="K86" i="397"/>
  <c r="J86" i="397"/>
  <c r="I86" i="397"/>
  <c r="G86" i="397"/>
  <c r="F86" i="397"/>
  <c r="C86" i="397"/>
  <c r="AN85" i="397"/>
  <c r="AN86" i="397" s="1"/>
  <c r="O85" i="397"/>
  <c r="N85" i="397"/>
  <c r="N86" i="397" s="1"/>
  <c r="M85" i="397"/>
  <c r="M86" i="397" s="1"/>
  <c r="F85" i="397"/>
  <c r="H85" i="397" s="1"/>
  <c r="H86" i="397" s="1"/>
  <c r="AP83" i="397"/>
  <c r="AO83" i="397"/>
  <c r="S83" i="397"/>
  <c r="M83" i="397"/>
  <c r="L83" i="397"/>
  <c r="K83" i="397"/>
  <c r="J83" i="397"/>
  <c r="I83" i="397"/>
  <c r="G83" i="397"/>
  <c r="C83" i="397"/>
  <c r="AN82" i="397"/>
  <c r="M82" i="397"/>
  <c r="N82" i="397" s="1"/>
  <c r="Q82" i="397" s="1"/>
  <c r="R82" i="397" s="1"/>
  <c r="H82" i="397"/>
  <c r="F82" i="397"/>
  <c r="P82" i="397" s="1"/>
  <c r="AN81" i="397"/>
  <c r="R81" i="397"/>
  <c r="Q81" i="397"/>
  <c r="N81" i="397"/>
  <c r="H81" i="397"/>
  <c r="F81" i="397"/>
  <c r="F83" i="397" s="1"/>
  <c r="C81" i="397"/>
  <c r="AN80" i="397"/>
  <c r="O80" i="397"/>
  <c r="N80" i="397"/>
  <c r="Q80" i="397" s="1"/>
  <c r="H80" i="397"/>
  <c r="AN79" i="397"/>
  <c r="AN83" i="397" s="1"/>
  <c r="O79" i="397"/>
  <c r="N79" i="397"/>
  <c r="M79" i="397"/>
  <c r="H79" i="397"/>
  <c r="H83" i="397" s="1"/>
  <c r="AP76" i="397"/>
  <c r="AO76" i="397"/>
  <c r="L76" i="397"/>
  <c r="K76" i="397"/>
  <c r="J76" i="397"/>
  <c r="I76" i="397"/>
  <c r="G76" i="397"/>
  <c r="F76" i="397"/>
  <c r="AN75" i="397"/>
  <c r="M75" i="397"/>
  <c r="N75" i="397" s="1"/>
  <c r="H75" i="397"/>
  <c r="F75" i="397"/>
  <c r="AN74" i="397"/>
  <c r="P74" i="397"/>
  <c r="O74" i="397"/>
  <c r="R74" i="397" s="1"/>
  <c r="N74" i="397"/>
  <c r="Q74" i="397" s="1"/>
  <c r="M74" i="397"/>
  <c r="H74" i="397"/>
  <c r="AN73" i="397"/>
  <c r="R73" i="397"/>
  <c r="Q73" i="397"/>
  <c r="N73" i="397"/>
  <c r="P73" i="397" s="1"/>
  <c r="H73" i="397"/>
  <c r="AN72" i="397"/>
  <c r="M72" i="397"/>
  <c r="N72" i="397" s="1"/>
  <c r="H72" i="397"/>
  <c r="AN71" i="397"/>
  <c r="N71" i="397"/>
  <c r="P71" i="397" s="1"/>
  <c r="H71" i="397"/>
  <c r="AN70" i="397"/>
  <c r="S70" i="397"/>
  <c r="S76" i="397" s="1"/>
  <c r="O70" i="397"/>
  <c r="R70" i="397" s="1"/>
  <c r="H70" i="397"/>
  <c r="F70" i="397"/>
  <c r="AN69" i="397"/>
  <c r="M69" i="397"/>
  <c r="N69" i="397" s="1"/>
  <c r="H69" i="397"/>
  <c r="AN68" i="397"/>
  <c r="O68" i="397"/>
  <c r="M68" i="397"/>
  <c r="N68" i="397" s="1"/>
  <c r="H68" i="397"/>
  <c r="AN67" i="397"/>
  <c r="O67" i="397"/>
  <c r="R67" i="397" s="1"/>
  <c r="N67" i="397"/>
  <c r="Q67" i="397" s="1"/>
  <c r="M67" i="397"/>
  <c r="H67" i="397"/>
  <c r="AN66" i="397"/>
  <c r="O66" i="397"/>
  <c r="M66" i="397"/>
  <c r="N66" i="397" s="1"/>
  <c r="Q66" i="397" s="1"/>
  <c r="R66" i="397" s="1"/>
  <c r="H66" i="397"/>
  <c r="F66" i="397"/>
  <c r="P66" i="397" s="1"/>
  <c r="AN65" i="397"/>
  <c r="Q65" i="397"/>
  <c r="R65" i="397" s="1"/>
  <c r="P65" i="397"/>
  <c r="H65" i="397"/>
  <c r="AN64" i="397"/>
  <c r="N64" i="397"/>
  <c r="Q64" i="397" s="1"/>
  <c r="R64" i="397" s="1"/>
  <c r="H64" i="397"/>
  <c r="AN63" i="397"/>
  <c r="Q63" i="397"/>
  <c r="O63" i="397"/>
  <c r="P63" i="397" s="1"/>
  <c r="N63" i="397"/>
  <c r="H63" i="397"/>
  <c r="AN62" i="397"/>
  <c r="P62" i="397"/>
  <c r="O62" i="397"/>
  <c r="N62" i="397"/>
  <c r="Q62" i="397" s="1"/>
  <c r="H62" i="397"/>
  <c r="AN61" i="397"/>
  <c r="Q61" i="397"/>
  <c r="R61" i="397" s="1"/>
  <c r="O61" i="397"/>
  <c r="N61" i="397"/>
  <c r="P61" i="397" s="1"/>
  <c r="H61" i="397"/>
  <c r="AN60" i="397"/>
  <c r="O60" i="397"/>
  <c r="N60" i="397"/>
  <c r="Q60" i="397" s="1"/>
  <c r="R60" i="397" s="1"/>
  <c r="H60" i="397"/>
  <c r="AN59" i="397"/>
  <c r="N59" i="397"/>
  <c r="Q59" i="397" s="1"/>
  <c r="R59" i="397" s="1"/>
  <c r="H59" i="397"/>
  <c r="AN58" i="397"/>
  <c r="N58" i="397"/>
  <c r="P58" i="397" s="1"/>
  <c r="H58" i="397"/>
  <c r="AN57" i="397"/>
  <c r="N57" i="397"/>
  <c r="Q57" i="397" s="1"/>
  <c r="R57" i="397" s="1"/>
  <c r="H57" i="397"/>
  <c r="AN56" i="397"/>
  <c r="R56" i="397"/>
  <c r="H56" i="397"/>
  <c r="AN55" i="397"/>
  <c r="R55" i="397"/>
  <c r="H55" i="397"/>
  <c r="AN54" i="397"/>
  <c r="R54" i="397"/>
  <c r="H54" i="397"/>
  <c r="AN53" i="397"/>
  <c r="R53" i="397"/>
  <c r="H53" i="397"/>
  <c r="AN52" i="397"/>
  <c r="R52" i="397"/>
  <c r="H52" i="397"/>
  <c r="AN51" i="397"/>
  <c r="R51" i="397"/>
  <c r="H51" i="397"/>
  <c r="AN50" i="397"/>
  <c r="R50" i="397"/>
  <c r="H50" i="397"/>
  <c r="AN49" i="397"/>
  <c r="R49" i="397"/>
  <c r="H49" i="397"/>
  <c r="AN48" i="397"/>
  <c r="R48" i="397"/>
  <c r="AN47" i="397"/>
  <c r="R47" i="397"/>
  <c r="AN46" i="397"/>
  <c r="R46" i="397"/>
  <c r="AN45" i="397"/>
  <c r="N45" i="397"/>
  <c r="P45" i="397" s="1"/>
  <c r="M45" i="397"/>
  <c r="H45" i="397"/>
  <c r="AN44" i="397"/>
  <c r="O44" i="397"/>
  <c r="M44" i="397"/>
  <c r="N44" i="397" s="1"/>
  <c r="H44" i="397"/>
  <c r="F44" i="397"/>
  <c r="AN43" i="397"/>
  <c r="O43" i="397"/>
  <c r="N43" i="397"/>
  <c r="Q43" i="397" s="1"/>
  <c r="M43" i="397"/>
  <c r="H43" i="397"/>
  <c r="AN42" i="397"/>
  <c r="O42" i="397"/>
  <c r="M42" i="397"/>
  <c r="N42" i="397" s="1"/>
  <c r="Q42" i="397" s="1"/>
  <c r="R42" i="397" s="1"/>
  <c r="F42" i="397"/>
  <c r="P42" i="397" s="1"/>
  <c r="AN41" i="397"/>
  <c r="O41" i="397"/>
  <c r="M41" i="397"/>
  <c r="N41" i="397" s="1"/>
  <c r="H41" i="397"/>
  <c r="AN40" i="397"/>
  <c r="M40" i="397"/>
  <c r="N40" i="397" s="1"/>
  <c r="H40" i="397"/>
  <c r="C40" i="397"/>
  <c r="AN39" i="397"/>
  <c r="O39" i="397"/>
  <c r="O76" i="397" s="1"/>
  <c r="M39" i="397"/>
  <c r="N39" i="397" s="1"/>
  <c r="H39" i="397"/>
  <c r="AN38" i="397"/>
  <c r="P38" i="397"/>
  <c r="N38" i="397"/>
  <c r="Q38" i="397" s="1"/>
  <c r="M38" i="397"/>
  <c r="M76" i="397" s="1"/>
  <c r="H38" i="397"/>
  <c r="AP35" i="397"/>
  <c r="AO35" i="397"/>
  <c r="S35" i="397"/>
  <c r="L35" i="397"/>
  <c r="K35" i="397"/>
  <c r="J35" i="397"/>
  <c r="I35" i="397"/>
  <c r="G35" i="397"/>
  <c r="AN34" i="397"/>
  <c r="O34" i="397"/>
  <c r="N34" i="397"/>
  <c r="Q34" i="397" s="1"/>
  <c r="F34" i="397"/>
  <c r="H34" i="397" s="1"/>
  <c r="C34" i="397"/>
  <c r="AN33" i="397"/>
  <c r="O33" i="397"/>
  <c r="M33" i="397"/>
  <c r="N33" i="397" s="1"/>
  <c r="H33" i="397"/>
  <c r="AN32" i="397"/>
  <c r="O32" i="397"/>
  <c r="M32" i="397"/>
  <c r="N32" i="397" s="1"/>
  <c r="H32" i="397"/>
  <c r="AN31" i="397"/>
  <c r="M31" i="397"/>
  <c r="N31" i="397" s="1"/>
  <c r="H31" i="397"/>
  <c r="AN30" i="397"/>
  <c r="O30" i="397"/>
  <c r="N30" i="397"/>
  <c r="Q30" i="397" s="1"/>
  <c r="R30" i="397" s="1"/>
  <c r="M30" i="397"/>
  <c r="H30" i="397"/>
  <c r="AN29" i="397"/>
  <c r="N29" i="397"/>
  <c r="P29" i="397" s="1"/>
  <c r="M29" i="397"/>
  <c r="H29" i="397"/>
  <c r="AN28" i="397"/>
  <c r="N28" i="397"/>
  <c r="Q28" i="397" s="1"/>
  <c r="R28" i="397" s="1"/>
  <c r="M28" i="397"/>
  <c r="H28" i="397"/>
  <c r="AN27" i="397"/>
  <c r="Q27" i="397"/>
  <c r="O27" i="397"/>
  <c r="R27" i="397" s="1"/>
  <c r="N27" i="397"/>
  <c r="P27" i="397" s="1"/>
  <c r="H27" i="397"/>
  <c r="AN26" i="397"/>
  <c r="P26" i="397"/>
  <c r="O26" i="397"/>
  <c r="N26" i="397"/>
  <c r="Q26" i="397" s="1"/>
  <c r="H26" i="397"/>
  <c r="AN25" i="397"/>
  <c r="Q25" i="397"/>
  <c r="O25" i="397"/>
  <c r="R25" i="397" s="1"/>
  <c r="N25" i="397"/>
  <c r="H25" i="397"/>
  <c r="F25" i="397"/>
  <c r="P25" i="397" s="1"/>
  <c r="AN24" i="397"/>
  <c r="N24" i="397"/>
  <c r="P24" i="397" s="1"/>
  <c r="H24" i="397"/>
  <c r="AN23" i="397"/>
  <c r="O23" i="397"/>
  <c r="N23" i="397"/>
  <c r="Q23" i="397" s="1"/>
  <c r="F23" i="397"/>
  <c r="H23" i="397" s="1"/>
  <c r="AN22" i="397"/>
  <c r="Q22" i="397"/>
  <c r="R22" i="397" s="1"/>
  <c r="N22" i="397"/>
  <c r="P22" i="397" s="1"/>
  <c r="H22" i="397"/>
  <c r="AN21" i="397"/>
  <c r="Q21" i="397"/>
  <c r="R21" i="397" s="1"/>
  <c r="N21" i="397"/>
  <c r="P21" i="397" s="1"/>
  <c r="H21" i="397"/>
  <c r="AN20" i="397"/>
  <c r="Q20" i="397"/>
  <c r="R20" i="397" s="1"/>
  <c r="N20" i="397"/>
  <c r="P20" i="397" s="1"/>
  <c r="H20" i="397"/>
  <c r="AN19" i="397"/>
  <c r="Q19" i="397"/>
  <c r="R19" i="397" s="1"/>
  <c r="N19" i="397"/>
  <c r="P19" i="397" s="1"/>
  <c r="H19" i="397"/>
  <c r="AN18" i="397"/>
  <c r="M18" i="397"/>
  <c r="N18" i="397" s="1"/>
  <c r="H18" i="397"/>
  <c r="AN17" i="397"/>
  <c r="O17" i="397"/>
  <c r="N17" i="397"/>
  <c r="M17" i="397"/>
  <c r="H17" i="397"/>
  <c r="AN16" i="397"/>
  <c r="P16" i="397"/>
  <c r="O16" i="397"/>
  <c r="N16" i="397"/>
  <c r="Q16" i="397" s="1"/>
  <c r="R16" i="397" s="1"/>
  <c r="M16" i="397"/>
  <c r="H16" i="397"/>
  <c r="AN15" i="397"/>
  <c r="O15" i="397"/>
  <c r="M15" i="397"/>
  <c r="N15" i="397" s="1"/>
  <c r="Q15" i="397" s="1"/>
  <c r="F15" i="397"/>
  <c r="F35" i="397" s="1"/>
  <c r="AN14" i="397"/>
  <c r="O14" i="397"/>
  <c r="M14" i="397"/>
  <c r="N14" i="397" s="1"/>
  <c r="H14" i="397"/>
  <c r="C14" i="397"/>
  <c r="C15" i="397" s="1"/>
  <c r="C16" i="397" s="1"/>
  <c r="C17" i="397" s="1"/>
  <c r="C18" i="397" s="1"/>
  <c r="C19" i="397" s="1"/>
  <c r="C20" i="397" s="1"/>
  <c r="C21" i="397" s="1"/>
  <c r="C22" i="397" s="1"/>
  <c r="C23" i="397" s="1"/>
  <c r="C24" i="397" s="1"/>
  <c r="C25" i="397" s="1"/>
  <c r="C26" i="397" s="1"/>
  <c r="C27" i="397" s="1"/>
  <c r="AN13" i="397"/>
  <c r="P13" i="397"/>
  <c r="O13" i="397"/>
  <c r="N13" i="397"/>
  <c r="M13" i="397"/>
  <c r="H13" i="397"/>
  <c r="AN12" i="397"/>
  <c r="AN11" i="397"/>
  <c r="AP10" i="397"/>
  <c r="AO10" i="397"/>
  <c r="S10" i="397"/>
  <c r="O10" i="397"/>
  <c r="N10" i="397"/>
  <c r="M10" i="397"/>
  <c r="L10" i="397"/>
  <c r="K10" i="397"/>
  <c r="J10" i="397"/>
  <c r="I10" i="397"/>
  <c r="G10" i="397"/>
  <c r="F10" i="397"/>
  <c r="C10" i="397"/>
  <c r="AN9" i="397"/>
  <c r="P9" i="397"/>
  <c r="N9" i="397"/>
  <c r="Q9" i="397" s="1"/>
  <c r="R9" i="397" s="1"/>
  <c r="F9" i="397"/>
  <c r="H9" i="397" s="1"/>
  <c r="AN8" i="397"/>
  <c r="AN10" i="397" s="1"/>
  <c r="Q8" i="397"/>
  <c r="Q10" i="397" s="1"/>
  <c r="P8" i="397"/>
  <c r="P10" i="397" s="1"/>
  <c r="N8" i="397"/>
  <c r="H8" i="397"/>
  <c r="AZ14" i="396"/>
  <c r="AY14" i="396"/>
  <c r="AX14" i="396"/>
  <c r="AW14" i="396"/>
  <c r="R14" i="396"/>
  <c r="Q14" i="396"/>
  <c r="J14" i="396"/>
  <c r="I14" i="396"/>
  <c r="H14" i="396"/>
  <c r="G14" i="396"/>
  <c r="E14" i="396"/>
  <c r="AV13" i="396"/>
  <c r="AU13" i="396" s="1"/>
  <c r="S13" i="396"/>
  <c r="N13" i="396"/>
  <c r="K13" i="396"/>
  <c r="L13" i="396" s="1"/>
  <c r="P13" i="396" s="1"/>
  <c r="F13" i="396"/>
  <c r="D13" i="396"/>
  <c r="AV12" i="396"/>
  <c r="AU12" i="396"/>
  <c r="S12" i="396"/>
  <c r="L12" i="396"/>
  <c r="P12" i="396" s="1"/>
  <c r="K12" i="396"/>
  <c r="D12" i="396"/>
  <c r="AU11" i="396"/>
  <c r="S11" i="396"/>
  <c r="L11" i="396"/>
  <c r="P11" i="396" s="1"/>
  <c r="K11" i="396"/>
  <c r="F11" i="396"/>
  <c r="AU10" i="396"/>
  <c r="S10" i="396"/>
  <c r="K10" i="396"/>
  <c r="L10" i="396" s="1"/>
  <c r="F10" i="396"/>
  <c r="AU9" i="396"/>
  <c r="S9" i="396"/>
  <c r="P9" i="396"/>
  <c r="M9" i="396" s="1"/>
  <c r="L9" i="396"/>
  <c r="K9" i="396"/>
  <c r="F9" i="396"/>
  <c r="D9" i="396"/>
  <c r="O9" i="396" s="1"/>
  <c r="AU8" i="396"/>
  <c r="S8" i="396"/>
  <c r="P8" i="396"/>
  <c r="M8" i="396" s="1"/>
  <c r="L8" i="396"/>
  <c r="O8" i="396" s="1"/>
  <c r="K8" i="396"/>
  <c r="F8" i="396"/>
  <c r="AU7" i="396"/>
  <c r="S7" i="396"/>
  <c r="K7" i="396"/>
  <c r="L7" i="396" s="1"/>
  <c r="F7" i="396"/>
  <c r="A7" i="396"/>
  <c r="A8" i="396" s="1"/>
  <c r="A9" i="396" s="1"/>
  <c r="A10" i="396" s="1"/>
  <c r="A11" i="396" s="1"/>
  <c r="A12" i="396" s="1"/>
  <c r="A13" i="396" s="1"/>
  <c r="A14" i="396" s="1"/>
  <c r="AU6" i="396"/>
  <c r="S6" i="396"/>
  <c r="N6" i="396"/>
  <c r="N14" i="396" s="1"/>
  <c r="K6" i="396"/>
  <c r="L6" i="396" s="1"/>
  <c r="P6" i="396" s="1"/>
  <c r="D6" i="396"/>
  <c r="F6" i="396" s="1"/>
  <c r="A6" i="396"/>
  <c r="AU5" i="396"/>
  <c r="S5" i="396"/>
  <c r="S14" i="396" s="1"/>
  <c r="K5" i="396"/>
  <c r="L5" i="396" s="1"/>
  <c r="F5" i="396"/>
  <c r="AZ17" i="395"/>
  <c r="AY17" i="395"/>
  <c r="AX17" i="395"/>
  <c r="AW17" i="395"/>
  <c r="AV17" i="395"/>
  <c r="R17" i="395"/>
  <c r="Q17" i="395"/>
  <c r="J17" i="395"/>
  <c r="I17" i="395"/>
  <c r="H17" i="395"/>
  <c r="G17" i="395"/>
  <c r="E17" i="395"/>
  <c r="D17" i="395"/>
  <c r="AU16" i="395"/>
  <c r="S16" i="395"/>
  <c r="P16" i="395"/>
  <c r="M16" i="395" s="1"/>
  <c r="O16" i="395" s="1"/>
  <c r="L16" i="395"/>
  <c r="K16" i="395"/>
  <c r="F16" i="395"/>
  <c r="AU15" i="395"/>
  <c r="S15" i="395"/>
  <c r="L15" i="395"/>
  <c r="P15" i="395" s="1"/>
  <c r="K15" i="395"/>
  <c r="F15" i="395"/>
  <c r="AU14" i="395"/>
  <c r="S14" i="395"/>
  <c r="L14" i="395"/>
  <c r="P14" i="395" s="1"/>
  <c r="K14" i="395"/>
  <c r="F14" i="395"/>
  <c r="AU13" i="395"/>
  <c r="S13" i="395"/>
  <c r="K13" i="395"/>
  <c r="L13" i="395" s="1"/>
  <c r="F13" i="395"/>
  <c r="AU12" i="395"/>
  <c r="S12" i="395"/>
  <c r="K12" i="395"/>
  <c r="L12" i="395" s="1"/>
  <c r="F12" i="395"/>
  <c r="AU11" i="395"/>
  <c r="S11" i="395"/>
  <c r="N11" i="395"/>
  <c r="N17" i="395" s="1"/>
  <c r="K11" i="395"/>
  <c r="L11" i="395" s="1"/>
  <c r="F11" i="395"/>
  <c r="AU10" i="395"/>
  <c r="S10" i="395"/>
  <c r="K10" i="395"/>
  <c r="L10" i="395" s="1"/>
  <c r="F10" i="395"/>
  <c r="AU9" i="395"/>
  <c r="S9" i="395"/>
  <c r="L9" i="395"/>
  <c r="P9" i="395" s="1"/>
  <c r="K9" i="395"/>
  <c r="F9" i="395"/>
  <c r="AU8" i="395"/>
  <c r="S8" i="395"/>
  <c r="K8" i="395"/>
  <c r="L8" i="395" s="1"/>
  <c r="F8" i="395"/>
  <c r="AU7" i="395"/>
  <c r="S7" i="395"/>
  <c r="K7" i="395"/>
  <c r="L7" i="395" s="1"/>
  <c r="F7" i="395"/>
  <c r="AU6" i="395"/>
  <c r="S6" i="395"/>
  <c r="P6" i="395"/>
  <c r="M6" i="395" s="1"/>
  <c r="O6" i="395" s="1"/>
  <c r="L6" i="395"/>
  <c r="K6" i="395"/>
  <c r="F6" i="395"/>
  <c r="A6" i="395"/>
  <c r="A7" i="395" s="1"/>
  <c r="A8" i="395" s="1"/>
  <c r="A9" i="395" s="1"/>
  <c r="A10" i="395" s="1"/>
  <c r="A11" i="395" s="1"/>
  <c r="A12" i="395" s="1"/>
  <c r="A13" i="395" s="1"/>
  <c r="A14" i="395" s="1"/>
  <c r="A15" i="395" s="1"/>
  <c r="A16" i="395" s="1"/>
  <c r="A17" i="395" s="1"/>
  <c r="AU5" i="395"/>
  <c r="S5" i="395"/>
  <c r="S17" i="395" s="1"/>
  <c r="L5" i="395"/>
  <c r="K5" i="395"/>
  <c r="K17" i="395" s="1"/>
  <c r="L18" i="395" s="1"/>
  <c r="P18" i="395" s="1"/>
  <c r="F5" i="395"/>
  <c r="F17" i="395" s="1"/>
  <c r="AZ14" i="394"/>
  <c r="AY14" i="394"/>
  <c r="AX14" i="394"/>
  <c r="AW14" i="394"/>
  <c r="AU14" i="394"/>
  <c r="R14" i="394"/>
  <c r="Q14" i="394"/>
  <c r="J14" i="394"/>
  <c r="I14" i="394"/>
  <c r="H14" i="394"/>
  <c r="G14" i="394"/>
  <c r="E14" i="394"/>
  <c r="A14" i="394"/>
  <c r="AV13" i="394"/>
  <c r="S13" i="394"/>
  <c r="K13" i="394"/>
  <c r="L13" i="394" s="1"/>
  <c r="F13" i="394"/>
  <c r="AV12" i="394"/>
  <c r="S12" i="394"/>
  <c r="L12" i="394"/>
  <c r="P12" i="394" s="1"/>
  <c r="K12" i="394"/>
  <c r="F12" i="394"/>
  <c r="AV11" i="394"/>
  <c r="S11" i="394"/>
  <c r="N11" i="394"/>
  <c r="L11" i="394"/>
  <c r="P11" i="394" s="1"/>
  <c r="K11" i="394"/>
  <c r="D11" i="394"/>
  <c r="F11" i="394" s="1"/>
  <c r="AV10" i="394"/>
  <c r="S10" i="394"/>
  <c r="N10" i="394"/>
  <c r="K10" i="394"/>
  <c r="L10" i="394" s="1"/>
  <c r="P10" i="394" s="1"/>
  <c r="F10" i="394"/>
  <c r="D10" i="394"/>
  <c r="AV9" i="394"/>
  <c r="S9" i="394"/>
  <c r="N9" i="394"/>
  <c r="N14" i="394" s="1"/>
  <c r="K9" i="394"/>
  <c r="L9" i="394" s="1"/>
  <c r="P9" i="394" s="1"/>
  <c r="D9" i="394"/>
  <c r="D14" i="394" s="1"/>
  <c r="AV8" i="394"/>
  <c r="S8" i="394"/>
  <c r="N8" i="394"/>
  <c r="L8" i="394"/>
  <c r="P8" i="394" s="1"/>
  <c r="K8" i="394"/>
  <c r="F8" i="394"/>
  <c r="D8" i="394"/>
  <c r="AV7" i="394"/>
  <c r="S7" i="394"/>
  <c r="S14" i="394" s="1"/>
  <c r="P7" i="394"/>
  <c r="M7" i="394" s="1"/>
  <c r="L7" i="394"/>
  <c r="O7" i="394" s="1"/>
  <c r="K7" i="394"/>
  <c r="F7" i="394"/>
  <c r="AV6" i="394"/>
  <c r="S6" i="394"/>
  <c r="N6" i="394"/>
  <c r="L6" i="394"/>
  <c r="P6" i="394" s="1"/>
  <c r="K6" i="394"/>
  <c r="F6" i="394"/>
  <c r="A6" i="394"/>
  <c r="A7" i="394" s="1"/>
  <c r="A8" i="394" s="1"/>
  <c r="A9" i="394" s="1"/>
  <c r="A10" i="394" s="1"/>
  <c r="A11" i="394" s="1"/>
  <c r="A12" i="394" s="1"/>
  <c r="A13" i="394" s="1"/>
  <c r="AV5" i="394"/>
  <c r="S5" i="394"/>
  <c r="K5" i="394"/>
  <c r="L5" i="394" s="1"/>
  <c r="F5" i="394"/>
  <c r="AZ10" i="393"/>
  <c r="AY10" i="393"/>
  <c r="AX10" i="393"/>
  <c r="AW10" i="393"/>
  <c r="AV10" i="393"/>
  <c r="S10" i="393"/>
  <c r="R10" i="393"/>
  <c r="Q10" i="393"/>
  <c r="N10" i="393"/>
  <c r="J10" i="393"/>
  <c r="I10" i="393"/>
  <c r="H10" i="393"/>
  <c r="G10" i="393"/>
  <c r="F10" i="393"/>
  <c r="E10" i="393"/>
  <c r="D10" i="393"/>
  <c r="AU9" i="393"/>
  <c r="S9" i="393"/>
  <c r="K9" i="393"/>
  <c r="L9" i="393" s="1"/>
  <c r="F9" i="393"/>
  <c r="AU8" i="393"/>
  <c r="S8" i="393"/>
  <c r="K8" i="393"/>
  <c r="L8" i="393" s="1"/>
  <c r="F8" i="393"/>
  <c r="AU7" i="393"/>
  <c r="S7" i="393"/>
  <c r="K7" i="393"/>
  <c r="L7" i="393" s="1"/>
  <c r="F7" i="393"/>
  <c r="AU6" i="393"/>
  <c r="AU10" i="393" s="1"/>
  <c r="S6" i="393"/>
  <c r="K6" i="393"/>
  <c r="L6" i="393" s="1"/>
  <c r="F6" i="393"/>
  <c r="A6" i="393"/>
  <c r="A7" i="393" s="1"/>
  <c r="A8" i="393" s="1"/>
  <c r="A9" i="393" s="1"/>
  <c r="A10" i="393" s="1"/>
  <c r="AU5" i="393"/>
  <c r="S5" i="393"/>
  <c r="K5" i="393"/>
  <c r="L5" i="393" s="1"/>
  <c r="F5" i="393"/>
  <c r="AZ15" i="392"/>
  <c r="AY15" i="392"/>
  <c r="AX15" i="392"/>
  <c r="AW15" i="392"/>
  <c r="AU15" i="392"/>
  <c r="R15" i="392"/>
  <c r="Q15" i="392"/>
  <c r="J15" i="392"/>
  <c r="I15" i="392"/>
  <c r="H15" i="392"/>
  <c r="E15" i="392"/>
  <c r="S14" i="392"/>
  <c r="L14" i="392"/>
  <c r="P14" i="392" s="1"/>
  <c r="K14" i="392"/>
  <c r="F14" i="392"/>
  <c r="AV13" i="392"/>
  <c r="S13" i="392"/>
  <c r="K13" i="392"/>
  <c r="L13" i="392" s="1"/>
  <c r="P13" i="392" s="1"/>
  <c r="D13" i="392"/>
  <c r="F13" i="392" s="1"/>
  <c r="AV12" i="392"/>
  <c r="S12" i="392"/>
  <c r="S15" i="392" s="1"/>
  <c r="K12" i="392"/>
  <c r="L12" i="392" s="1"/>
  <c r="F12" i="392"/>
  <c r="AV11" i="392"/>
  <c r="S11" i="392"/>
  <c r="L11" i="392"/>
  <c r="P11" i="392" s="1"/>
  <c r="K11" i="392"/>
  <c r="F11" i="392"/>
  <c r="D11" i="392"/>
  <c r="AV10" i="392"/>
  <c r="S10" i="392"/>
  <c r="L10" i="392"/>
  <c r="P10" i="392" s="1"/>
  <c r="K10" i="392"/>
  <c r="F10" i="392"/>
  <c r="D10" i="392"/>
  <c r="AV9" i="392"/>
  <c r="S9" i="392"/>
  <c r="L9" i="392"/>
  <c r="P9" i="392" s="1"/>
  <c r="K9" i="392"/>
  <c r="F9" i="392"/>
  <c r="AV8" i="392"/>
  <c r="S8" i="392"/>
  <c r="K8" i="392"/>
  <c r="L8" i="392" s="1"/>
  <c r="P8" i="392" s="1"/>
  <c r="D8" i="392"/>
  <c r="F8" i="392" s="1"/>
  <c r="AV7" i="392"/>
  <c r="S7" i="392"/>
  <c r="K7" i="392"/>
  <c r="L7" i="392" s="1"/>
  <c r="P7" i="392" s="1"/>
  <c r="D7" i="392"/>
  <c r="F7" i="392" s="1"/>
  <c r="AV6" i="392"/>
  <c r="S6" i="392"/>
  <c r="N6" i="392"/>
  <c r="L6" i="392"/>
  <c r="P6" i="392" s="1"/>
  <c r="K6" i="392"/>
  <c r="F6" i="392"/>
  <c r="A6" i="392"/>
  <c r="A7" i="392" s="1"/>
  <c r="A8" i="392" s="1"/>
  <c r="A9" i="392" s="1"/>
  <c r="A10" i="392" s="1"/>
  <c r="A11" i="392" s="1"/>
  <c r="A12" i="392" s="1"/>
  <c r="A13" i="392" s="1"/>
  <c r="A14" i="392" s="1"/>
  <c r="A15" i="392" s="1"/>
  <c r="AV5" i="392"/>
  <c r="S5" i="392"/>
  <c r="N5" i="392"/>
  <c r="L5" i="392"/>
  <c r="L15" i="392" s="1"/>
  <c r="K5" i="392"/>
  <c r="K15" i="392" s="1"/>
  <c r="L16" i="392" s="1"/>
  <c r="G5" i="392"/>
  <c r="G15" i="392" s="1"/>
  <c r="P16" i="392" s="1"/>
  <c r="F5" i="392"/>
  <c r="AZ28" i="391"/>
  <c r="AY28" i="391"/>
  <c r="AX28" i="391"/>
  <c r="AW28" i="391"/>
  <c r="R28" i="391"/>
  <c r="Q28" i="391"/>
  <c r="J28" i="391"/>
  <c r="I28" i="391"/>
  <c r="H28" i="391"/>
  <c r="G28" i="391"/>
  <c r="E28" i="391"/>
  <c r="AV27" i="391"/>
  <c r="S27" i="391"/>
  <c r="L27" i="391"/>
  <c r="P27" i="391" s="1"/>
  <c r="K27" i="391"/>
  <c r="F27" i="391"/>
  <c r="AV26" i="391"/>
  <c r="S26" i="391"/>
  <c r="K26" i="391"/>
  <c r="L26" i="391" s="1"/>
  <c r="F26" i="391"/>
  <c r="AV25" i="391"/>
  <c r="S25" i="391"/>
  <c r="K25" i="391"/>
  <c r="L25" i="391" s="1"/>
  <c r="F25" i="391"/>
  <c r="AV24" i="391"/>
  <c r="S24" i="391"/>
  <c r="K24" i="391"/>
  <c r="L24" i="391" s="1"/>
  <c r="F24" i="391"/>
  <c r="AV23" i="391"/>
  <c r="S23" i="391"/>
  <c r="L23" i="391"/>
  <c r="P23" i="391" s="1"/>
  <c r="K23" i="391"/>
  <c r="F23" i="391"/>
  <c r="AV22" i="391"/>
  <c r="S22" i="391"/>
  <c r="K22" i="391"/>
  <c r="L22" i="391" s="1"/>
  <c r="P22" i="391" s="1"/>
  <c r="F22" i="391"/>
  <c r="AV21" i="391"/>
  <c r="S21" i="391"/>
  <c r="N21" i="391"/>
  <c r="K21" i="391"/>
  <c r="L21" i="391" s="1"/>
  <c r="P21" i="391" s="1"/>
  <c r="F21" i="391"/>
  <c r="AV20" i="391"/>
  <c r="S20" i="391"/>
  <c r="L20" i="391"/>
  <c r="P20" i="391" s="1"/>
  <c r="K20" i="391"/>
  <c r="F20" i="391"/>
  <c r="D20" i="391"/>
  <c r="AV19" i="391"/>
  <c r="S19" i="391"/>
  <c r="L19" i="391"/>
  <c r="P19" i="391" s="1"/>
  <c r="K19" i="391"/>
  <c r="F19" i="391"/>
  <c r="AV18" i="391"/>
  <c r="S18" i="391"/>
  <c r="K18" i="391"/>
  <c r="L18" i="391" s="1"/>
  <c r="P18" i="391" s="1"/>
  <c r="D18" i="391"/>
  <c r="F18" i="391" s="1"/>
  <c r="AV17" i="391"/>
  <c r="S17" i="391"/>
  <c r="K17" i="391"/>
  <c r="L17" i="391" s="1"/>
  <c r="P17" i="391" s="1"/>
  <c r="F17" i="391"/>
  <c r="AV16" i="391"/>
  <c r="S16" i="391"/>
  <c r="L16" i="391"/>
  <c r="P16" i="391" s="1"/>
  <c r="K16" i="391"/>
  <c r="F16" i="391"/>
  <c r="AV15" i="391"/>
  <c r="S15" i="391"/>
  <c r="N15" i="391"/>
  <c r="L15" i="391"/>
  <c r="P15" i="391" s="1"/>
  <c r="K15" i="391"/>
  <c r="F15" i="391"/>
  <c r="AV14" i="391"/>
  <c r="S14" i="391"/>
  <c r="K14" i="391"/>
  <c r="L14" i="391" s="1"/>
  <c r="P14" i="391" s="1"/>
  <c r="F14" i="391"/>
  <c r="AV13" i="391"/>
  <c r="S13" i="391"/>
  <c r="N13" i="391"/>
  <c r="K13" i="391"/>
  <c r="L13" i="391" s="1"/>
  <c r="P13" i="391" s="1"/>
  <c r="D13" i="391"/>
  <c r="AV12" i="391"/>
  <c r="S12" i="391"/>
  <c r="K12" i="391"/>
  <c r="L12" i="391" s="1"/>
  <c r="P12" i="391" s="1"/>
  <c r="F12" i="391"/>
  <c r="AV11" i="391"/>
  <c r="S11" i="391"/>
  <c r="K11" i="391"/>
  <c r="K28" i="391" s="1"/>
  <c r="L29" i="391" s="1"/>
  <c r="F11" i="391"/>
  <c r="AV10" i="391"/>
  <c r="S10" i="391"/>
  <c r="K10" i="391"/>
  <c r="L10" i="391" s="1"/>
  <c r="P10" i="391" s="1"/>
  <c r="D10" i="391"/>
  <c r="AV9" i="391"/>
  <c r="S9" i="391"/>
  <c r="K9" i="391"/>
  <c r="L9" i="391" s="1"/>
  <c r="P9" i="391" s="1"/>
  <c r="D9" i="391"/>
  <c r="AV8" i="391"/>
  <c r="S8" i="391"/>
  <c r="K8" i="391"/>
  <c r="L8" i="391" s="1"/>
  <c r="P8" i="391" s="1"/>
  <c r="F8" i="391"/>
  <c r="A8" i="391"/>
  <c r="A9" i="391" s="1"/>
  <c r="A10" i="391" s="1"/>
  <c r="A11" i="391" s="1"/>
  <c r="A12" i="391" s="1"/>
  <c r="A13" i="391" s="1"/>
  <c r="A14" i="391" s="1"/>
  <c r="A15" i="391" s="1"/>
  <c r="A16" i="391" s="1"/>
  <c r="A17" i="391" s="1"/>
  <c r="A18" i="391" s="1"/>
  <c r="A19" i="391" s="1"/>
  <c r="A20" i="391" s="1"/>
  <c r="A21" i="391" s="1"/>
  <c r="A22" i="391" s="1"/>
  <c r="A23" i="391" s="1"/>
  <c r="A24" i="391" s="1"/>
  <c r="A25" i="391" s="1"/>
  <c r="A26" i="391" s="1"/>
  <c r="A27" i="391" s="1"/>
  <c r="A28" i="391" s="1"/>
  <c r="AV7" i="391"/>
  <c r="S7" i="391"/>
  <c r="L7" i="391"/>
  <c r="P7" i="391" s="1"/>
  <c r="K7" i="391"/>
  <c r="F7" i="391"/>
  <c r="A7" i="391"/>
  <c r="AV6" i="391"/>
  <c r="S6" i="391"/>
  <c r="S28" i="391" s="1"/>
  <c r="P6" i="391"/>
  <c r="M6" i="391" s="1"/>
  <c r="N6" i="391"/>
  <c r="L6" i="391"/>
  <c r="K6" i="391"/>
  <c r="G6" i="391"/>
  <c r="D6" i="391"/>
  <c r="F6" i="391" s="1"/>
  <c r="A6" i="391"/>
  <c r="AV5" i="391"/>
  <c r="AU5" i="391"/>
  <c r="AU28" i="391" s="1"/>
  <c r="S5" i="391"/>
  <c r="N5" i="391"/>
  <c r="L5" i="391"/>
  <c r="K5" i="391"/>
  <c r="F5" i="391"/>
  <c r="D5" i="391"/>
  <c r="D28" i="391" s="1"/>
  <c r="AZ127" i="390"/>
  <c r="AY127" i="390"/>
  <c r="AX127" i="390"/>
  <c r="AW127" i="390"/>
  <c r="AU127" i="390"/>
  <c r="J127" i="390"/>
  <c r="I127" i="390"/>
  <c r="H127" i="390"/>
  <c r="AV126" i="390"/>
  <c r="O126" i="390"/>
  <c r="N126" i="390"/>
  <c r="F126" i="390"/>
  <c r="AV125" i="390"/>
  <c r="N125" i="390"/>
  <c r="D125" i="390"/>
  <c r="F125" i="390" s="1"/>
  <c r="AV124" i="390"/>
  <c r="O124" i="390"/>
  <c r="F124" i="390"/>
  <c r="AV123" i="390"/>
  <c r="O123" i="390"/>
  <c r="N123" i="390"/>
  <c r="F123" i="390"/>
  <c r="AV122" i="390"/>
  <c r="O122" i="390"/>
  <c r="N122" i="390"/>
  <c r="F122" i="390"/>
  <c r="AV121" i="390"/>
  <c r="N121" i="390"/>
  <c r="F121" i="390"/>
  <c r="AV120" i="390"/>
  <c r="O120" i="390"/>
  <c r="F120" i="390"/>
  <c r="AV119" i="390"/>
  <c r="S119" i="390"/>
  <c r="P119" i="390"/>
  <c r="M119" i="390" s="1"/>
  <c r="F119" i="390"/>
  <c r="AV118" i="390"/>
  <c r="S118" i="390"/>
  <c r="M118" i="390" s="1"/>
  <c r="P118" i="390"/>
  <c r="N118" i="390"/>
  <c r="F118" i="390"/>
  <c r="AV117" i="390"/>
  <c r="S117" i="390"/>
  <c r="P117" i="390"/>
  <c r="N117" i="390"/>
  <c r="F117" i="390"/>
  <c r="D117" i="390"/>
  <c r="O117" i="390" s="1"/>
  <c r="AV116" i="390"/>
  <c r="S116" i="390"/>
  <c r="N116" i="390"/>
  <c r="K116" i="390"/>
  <c r="L116" i="390" s="1"/>
  <c r="P116" i="390" s="1"/>
  <c r="D116" i="390"/>
  <c r="F116" i="390" s="1"/>
  <c r="AV115" i="390"/>
  <c r="S115" i="390"/>
  <c r="P115" i="390"/>
  <c r="M115" i="390" s="1"/>
  <c r="O115" i="390"/>
  <c r="N115" i="390"/>
  <c r="F115" i="390"/>
  <c r="AV114" i="390"/>
  <c r="S114" i="390"/>
  <c r="P114" i="390"/>
  <c r="F114" i="390"/>
  <c r="D114" i="390"/>
  <c r="AV113" i="390"/>
  <c r="S113" i="390"/>
  <c r="K113" i="390"/>
  <c r="L113" i="390" s="1"/>
  <c r="F113" i="390"/>
  <c r="AV112" i="390"/>
  <c r="S112" i="390"/>
  <c r="P112" i="390"/>
  <c r="M112" i="390" s="1"/>
  <c r="O112" i="390" s="1"/>
  <c r="F112" i="390"/>
  <c r="AV111" i="390"/>
  <c r="S111" i="390"/>
  <c r="P111" i="390"/>
  <c r="M111" i="390" s="1"/>
  <c r="F111" i="390"/>
  <c r="AV110" i="390"/>
  <c r="S110" i="390"/>
  <c r="P110" i="390"/>
  <c r="N110" i="390"/>
  <c r="M110" i="390"/>
  <c r="D110" i="390"/>
  <c r="O110" i="390" s="1"/>
  <c r="AV109" i="390"/>
  <c r="S109" i="390"/>
  <c r="P109" i="390"/>
  <c r="F109" i="390"/>
  <c r="AV108" i="390"/>
  <c r="S108" i="390"/>
  <c r="P108" i="390"/>
  <c r="M108" i="390" s="1"/>
  <c r="O108" i="390" s="1"/>
  <c r="F108" i="390"/>
  <c r="AV107" i="390"/>
  <c r="S107" i="390"/>
  <c r="P107" i="390"/>
  <c r="M107" i="390" s="1"/>
  <c r="O107" i="390"/>
  <c r="N107" i="390"/>
  <c r="F107" i="390"/>
  <c r="D107" i="390"/>
  <c r="AV106" i="390"/>
  <c r="S106" i="390"/>
  <c r="P106" i="390"/>
  <c r="M106" i="390"/>
  <c r="F106" i="390"/>
  <c r="AV105" i="390"/>
  <c r="S105" i="390"/>
  <c r="P105" i="390"/>
  <c r="M105" i="390"/>
  <c r="O105" i="390" s="1"/>
  <c r="F105" i="390"/>
  <c r="AV104" i="390"/>
  <c r="S104" i="390"/>
  <c r="P104" i="390"/>
  <c r="N104" i="390"/>
  <c r="F104" i="390"/>
  <c r="AV103" i="390"/>
  <c r="S103" i="390"/>
  <c r="P103" i="390"/>
  <c r="M103" i="390" s="1"/>
  <c r="O103" i="390"/>
  <c r="N103" i="390"/>
  <c r="F103" i="390"/>
  <c r="AV102" i="390"/>
  <c r="S102" i="390"/>
  <c r="N102" i="390"/>
  <c r="K102" i="390"/>
  <c r="L102" i="390" s="1"/>
  <c r="F102" i="390"/>
  <c r="AV101" i="390"/>
  <c r="O101" i="390"/>
  <c r="L101" i="390"/>
  <c r="P101" i="390" s="1"/>
  <c r="M101" i="390" s="1"/>
  <c r="K101" i="390"/>
  <c r="D101" i="390"/>
  <c r="F101" i="390" s="1"/>
  <c r="AV100" i="390"/>
  <c r="R100" i="390"/>
  <c r="P100" i="390"/>
  <c r="M100" i="390" s="1"/>
  <c r="K100" i="390"/>
  <c r="L100" i="390" s="1"/>
  <c r="F100" i="390"/>
  <c r="AV99" i="390"/>
  <c r="P99" i="390"/>
  <c r="M99" i="390" s="1"/>
  <c r="L99" i="390"/>
  <c r="K99" i="390"/>
  <c r="F99" i="390"/>
  <c r="D99" i="390"/>
  <c r="AV98" i="390"/>
  <c r="S98" i="390"/>
  <c r="L98" i="390"/>
  <c r="K98" i="390"/>
  <c r="G98" i="390"/>
  <c r="P98" i="390" s="1"/>
  <c r="F98" i="390"/>
  <c r="AV97" i="390"/>
  <c r="S97" i="390"/>
  <c r="L97" i="390"/>
  <c r="K97" i="390"/>
  <c r="G97" i="390"/>
  <c r="F97" i="390"/>
  <c r="AV96" i="390"/>
  <c r="S96" i="390"/>
  <c r="P96" i="390"/>
  <c r="L96" i="390"/>
  <c r="K96" i="390"/>
  <c r="F96" i="390"/>
  <c r="AV95" i="390"/>
  <c r="S95" i="390"/>
  <c r="P95" i="390"/>
  <c r="M95" i="390" s="1"/>
  <c r="O95" i="390"/>
  <c r="K95" i="390"/>
  <c r="L95" i="390" s="1"/>
  <c r="F95" i="390"/>
  <c r="AV94" i="390"/>
  <c r="S94" i="390"/>
  <c r="K94" i="390"/>
  <c r="L94" i="390" s="1"/>
  <c r="F94" i="390"/>
  <c r="AV93" i="390"/>
  <c r="S93" i="390"/>
  <c r="P93" i="390"/>
  <c r="M93" i="390" s="1"/>
  <c r="L93" i="390"/>
  <c r="K93" i="390"/>
  <c r="F93" i="390"/>
  <c r="AV92" i="390"/>
  <c r="S92" i="390"/>
  <c r="L92" i="390"/>
  <c r="P92" i="390" s="1"/>
  <c r="M92" i="390" s="1"/>
  <c r="K92" i="390"/>
  <c r="F92" i="390"/>
  <c r="AV91" i="390"/>
  <c r="S91" i="390"/>
  <c r="P91" i="390"/>
  <c r="K91" i="390"/>
  <c r="L91" i="390" s="1"/>
  <c r="F91" i="390"/>
  <c r="AV90" i="390"/>
  <c r="S90" i="390"/>
  <c r="P90" i="390"/>
  <c r="N90" i="390"/>
  <c r="M90" i="390"/>
  <c r="K90" i="390"/>
  <c r="L90" i="390" s="1"/>
  <c r="F90" i="390"/>
  <c r="AV89" i="390"/>
  <c r="S89" i="390"/>
  <c r="L89" i="390"/>
  <c r="K89" i="390"/>
  <c r="F89" i="390"/>
  <c r="AV88" i="390"/>
  <c r="S88" i="390"/>
  <c r="K88" i="390"/>
  <c r="L88" i="390" s="1"/>
  <c r="F88" i="390"/>
  <c r="AV87" i="390"/>
  <c r="S87" i="390"/>
  <c r="P87" i="390"/>
  <c r="N87" i="390"/>
  <c r="L87" i="390"/>
  <c r="K87" i="390"/>
  <c r="F87" i="390"/>
  <c r="AV86" i="390"/>
  <c r="S86" i="390"/>
  <c r="K86" i="390"/>
  <c r="L86" i="390" s="1"/>
  <c r="F86" i="390"/>
  <c r="AV85" i="390"/>
  <c r="S85" i="390"/>
  <c r="N85" i="390"/>
  <c r="L85" i="390"/>
  <c r="K85" i="390"/>
  <c r="F85" i="390"/>
  <c r="D85" i="390"/>
  <c r="AV84" i="390"/>
  <c r="S84" i="390"/>
  <c r="N84" i="390"/>
  <c r="K84" i="390"/>
  <c r="L84" i="390" s="1"/>
  <c r="P84" i="390" s="1"/>
  <c r="D84" i="390"/>
  <c r="AV83" i="390"/>
  <c r="S83" i="390"/>
  <c r="L83" i="390"/>
  <c r="K83" i="390"/>
  <c r="F83" i="390"/>
  <c r="AV82" i="390"/>
  <c r="S82" i="390"/>
  <c r="M82" i="390"/>
  <c r="O82" i="390" s="1"/>
  <c r="L82" i="390"/>
  <c r="P82" i="390" s="1"/>
  <c r="K82" i="390"/>
  <c r="E82" i="390"/>
  <c r="D82" i="390"/>
  <c r="AV81" i="390"/>
  <c r="R81" i="390"/>
  <c r="S81" i="390" s="1"/>
  <c r="K81" i="390"/>
  <c r="L81" i="390" s="1"/>
  <c r="G81" i="390"/>
  <c r="E81" i="390"/>
  <c r="AV80" i="390"/>
  <c r="S80" i="390"/>
  <c r="P80" i="390"/>
  <c r="M80" i="390" s="1"/>
  <c r="N80" i="390"/>
  <c r="L80" i="390"/>
  <c r="K80" i="390"/>
  <c r="F80" i="390"/>
  <c r="D80" i="390"/>
  <c r="AV79" i="390"/>
  <c r="S79" i="390"/>
  <c r="P79" i="390"/>
  <c r="M79" i="390"/>
  <c r="L79" i="390"/>
  <c r="K79" i="390"/>
  <c r="F79" i="390"/>
  <c r="AV78" i="390"/>
  <c r="S78" i="390"/>
  <c r="K78" i="390"/>
  <c r="L78" i="390" s="1"/>
  <c r="P78" i="390" s="1"/>
  <c r="F78" i="390"/>
  <c r="AV77" i="390"/>
  <c r="S77" i="390"/>
  <c r="P77" i="390"/>
  <c r="N77" i="390"/>
  <c r="L77" i="390"/>
  <c r="K77" i="390"/>
  <c r="D77" i="390"/>
  <c r="F77" i="390" s="1"/>
  <c r="AV76" i="390"/>
  <c r="S76" i="390"/>
  <c r="R76" i="390"/>
  <c r="P76" i="390"/>
  <c r="L76" i="390"/>
  <c r="K76" i="390"/>
  <c r="G76" i="390"/>
  <c r="F76" i="390"/>
  <c r="AV75" i="390"/>
  <c r="S75" i="390"/>
  <c r="P75" i="390"/>
  <c r="N75" i="390"/>
  <c r="K75" i="390"/>
  <c r="L75" i="390" s="1"/>
  <c r="F75" i="390"/>
  <c r="AV74" i="390"/>
  <c r="S74" i="390"/>
  <c r="N74" i="390"/>
  <c r="L74" i="390"/>
  <c r="K74" i="390"/>
  <c r="F74" i="390"/>
  <c r="AV73" i="390"/>
  <c r="S73" i="390"/>
  <c r="N73" i="390"/>
  <c r="K73" i="390"/>
  <c r="L73" i="390" s="1"/>
  <c r="P73" i="390" s="1"/>
  <c r="F73" i="390"/>
  <c r="AV72" i="390"/>
  <c r="S72" i="390"/>
  <c r="N72" i="390"/>
  <c r="L72" i="390"/>
  <c r="K72" i="390"/>
  <c r="F72" i="390"/>
  <c r="AV71" i="390"/>
  <c r="S71" i="390"/>
  <c r="M71" i="390" s="1"/>
  <c r="O71" i="390"/>
  <c r="K71" i="390"/>
  <c r="L71" i="390" s="1"/>
  <c r="P71" i="390" s="1"/>
  <c r="F71" i="390"/>
  <c r="AV70" i="390"/>
  <c r="S70" i="390"/>
  <c r="P70" i="390"/>
  <c r="M70" i="390"/>
  <c r="L70" i="390"/>
  <c r="K70" i="390"/>
  <c r="F70" i="390"/>
  <c r="AV69" i="390"/>
  <c r="S69" i="390"/>
  <c r="P69" i="390"/>
  <c r="M69" i="390" s="1"/>
  <c r="O69" i="390"/>
  <c r="L69" i="390"/>
  <c r="K69" i="390"/>
  <c r="F69" i="390"/>
  <c r="AV68" i="390"/>
  <c r="S68" i="390"/>
  <c r="P68" i="390"/>
  <c r="K68" i="390"/>
  <c r="L68" i="390" s="1"/>
  <c r="F68" i="390"/>
  <c r="AV67" i="390"/>
  <c r="S67" i="390"/>
  <c r="P67" i="390"/>
  <c r="N67" i="390"/>
  <c r="M67" i="390"/>
  <c r="K67" i="390"/>
  <c r="L67" i="390" s="1"/>
  <c r="F67" i="390"/>
  <c r="D67" i="390"/>
  <c r="AV66" i="390"/>
  <c r="S66" i="390"/>
  <c r="P66" i="390"/>
  <c r="N66" i="390"/>
  <c r="K66" i="390"/>
  <c r="L66" i="390" s="1"/>
  <c r="F66" i="390"/>
  <c r="AV65" i="390"/>
  <c r="S65" i="390"/>
  <c r="P65" i="390"/>
  <c r="M65" i="390"/>
  <c r="K65" i="390"/>
  <c r="L65" i="390" s="1"/>
  <c r="F65" i="390"/>
  <c r="AV64" i="390"/>
  <c r="S64" i="390"/>
  <c r="L64" i="390"/>
  <c r="K64" i="390"/>
  <c r="F64" i="390"/>
  <c r="AV63" i="390"/>
  <c r="S63" i="390"/>
  <c r="O63" i="390"/>
  <c r="N63" i="390"/>
  <c r="M63" i="390"/>
  <c r="L63" i="390"/>
  <c r="P63" i="390" s="1"/>
  <c r="K63" i="390"/>
  <c r="F63" i="390"/>
  <c r="D63" i="390"/>
  <c r="AV62" i="390"/>
  <c r="S62" i="390"/>
  <c r="P62" i="390"/>
  <c r="N62" i="390"/>
  <c r="K62" i="390"/>
  <c r="L62" i="390" s="1"/>
  <c r="F62" i="390"/>
  <c r="D62" i="390"/>
  <c r="AV61" i="390"/>
  <c r="S61" i="390"/>
  <c r="L61" i="390"/>
  <c r="K61" i="390"/>
  <c r="F61" i="390"/>
  <c r="AV60" i="390"/>
  <c r="S60" i="390"/>
  <c r="K60" i="390"/>
  <c r="L60" i="390" s="1"/>
  <c r="P60" i="390" s="1"/>
  <c r="F60" i="390"/>
  <c r="D60" i="390"/>
  <c r="AV59" i="390"/>
  <c r="S59" i="390"/>
  <c r="P59" i="390"/>
  <c r="L59" i="390"/>
  <c r="K59" i="390"/>
  <c r="F59" i="390"/>
  <c r="AV58" i="390"/>
  <c r="S58" i="390"/>
  <c r="K58" i="390"/>
  <c r="L58" i="390" s="1"/>
  <c r="P58" i="390" s="1"/>
  <c r="F58" i="390"/>
  <c r="AV57" i="390"/>
  <c r="S57" i="390"/>
  <c r="O57" i="390"/>
  <c r="L57" i="390"/>
  <c r="P57" i="390" s="1"/>
  <c r="M57" i="390" s="1"/>
  <c r="K57" i="390"/>
  <c r="F57" i="390"/>
  <c r="AV56" i="390"/>
  <c r="S56" i="390"/>
  <c r="L56" i="390"/>
  <c r="K56" i="390"/>
  <c r="F56" i="390"/>
  <c r="AV55" i="390"/>
  <c r="S55" i="390"/>
  <c r="K55" i="390"/>
  <c r="L55" i="390" s="1"/>
  <c r="F55" i="390"/>
  <c r="AV54" i="390"/>
  <c r="S54" i="390"/>
  <c r="K54" i="390"/>
  <c r="L54" i="390" s="1"/>
  <c r="P54" i="390" s="1"/>
  <c r="F54" i="390"/>
  <c r="AV53" i="390"/>
  <c r="S53" i="390"/>
  <c r="O53" i="390"/>
  <c r="N53" i="390"/>
  <c r="L53" i="390"/>
  <c r="P53" i="390" s="1"/>
  <c r="M53" i="390" s="1"/>
  <c r="K53" i="390"/>
  <c r="F53" i="390"/>
  <c r="D53" i="390"/>
  <c r="AV52" i="390"/>
  <c r="S52" i="390"/>
  <c r="N52" i="390"/>
  <c r="K52" i="390"/>
  <c r="L52" i="390" s="1"/>
  <c r="P52" i="390" s="1"/>
  <c r="D52" i="390"/>
  <c r="AV51" i="390"/>
  <c r="S51" i="390"/>
  <c r="L51" i="390"/>
  <c r="K51" i="390"/>
  <c r="F51" i="390"/>
  <c r="AV50" i="390"/>
  <c r="S50" i="390"/>
  <c r="N50" i="390"/>
  <c r="K50" i="390"/>
  <c r="L50" i="390" s="1"/>
  <c r="F50" i="390"/>
  <c r="AV49" i="390"/>
  <c r="S49" i="390"/>
  <c r="N49" i="390"/>
  <c r="L49" i="390"/>
  <c r="K49" i="390"/>
  <c r="F49" i="390"/>
  <c r="AV48" i="390"/>
  <c r="S48" i="390"/>
  <c r="R48" i="390"/>
  <c r="Q48" i="390"/>
  <c r="N48" i="390"/>
  <c r="K48" i="390"/>
  <c r="L48" i="390" s="1"/>
  <c r="G48" i="390"/>
  <c r="F48" i="390"/>
  <c r="AV47" i="390"/>
  <c r="S47" i="390"/>
  <c r="K47" i="390"/>
  <c r="L47" i="390" s="1"/>
  <c r="F47" i="390"/>
  <c r="AV46" i="390"/>
  <c r="S46" i="390"/>
  <c r="L46" i="390"/>
  <c r="K46" i="390"/>
  <c r="F46" i="390"/>
  <c r="AV45" i="390"/>
  <c r="S45" i="390"/>
  <c r="K45" i="390"/>
  <c r="L45" i="390" s="1"/>
  <c r="F45" i="390"/>
  <c r="AV44" i="390"/>
  <c r="S44" i="390"/>
  <c r="N44" i="390"/>
  <c r="K44" i="390"/>
  <c r="L44" i="390" s="1"/>
  <c r="F44" i="390"/>
  <c r="AV43" i="390"/>
  <c r="S43" i="390"/>
  <c r="K43" i="390"/>
  <c r="L43" i="390" s="1"/>
  <c r="F43" i="390"/>
  <c r="AV42" i="390"/>
  <c r="S42" i="390"/>
  <c r="K42" i="390"/>
  <c r="L42" i="390" s="1"/>
  <c r="F42" i="390"/>
  <c r="AV41" i="390"/>
  <c r="S41" i="390"/>
  <c r="M41" i="390"/>
  <c r="O41" i="390" s="1"/>
  <c r="L41" i="390"/>
  <c r="P41" i="390" s="1"/>
  <c r="K41" i="390"/>
  <c r="F41" i="390"/>
  <c r="AV40" i="390"/>
  <c r="S40" i="390"/>
  <c r="P40" i="390"/>
  <c r="M40" i="390" s="1"/>
  <c r="L40" i="390"/>
  <c r="K40" i="390"/>
  <c r="F40" i="390"/>
  <c r="AV39" i="390"/>
  <c r="S39" i="390"/>
  <c r="P39" i="390"/>
  <c r="K39" i="390"/>
  <c r="L39" i="390" s="1"/>
  <c r="F39" i="390"/>
  <c r="AV38" i="390"/>
  <c r="S38" i="390"/>
  <c r="K38" i="390"/>
  <c r="L38" i="390" s="1"/>
  <c r="P38" i="390" s="1"/>
  <c r="F38" i="390"/>
  <c r="AV37" i="390"/>
  <c r="S37" i="390"/>
  <c r="L37" i="390"/>
  <c r="P37" i="390" s="1"/>
  <c r="K37" i="390"/>
  <c r="F37" i="390"/>
  <c r="AV36" i="390"/>
  <c r="S36" i="390"/>
  <c r="N36" i="390"/>
  <c r="L36" i="390"/>
  <c r="K36" i="390"/>
  <c r="F36" i="390"/>
  <c r="AV35" i="390"/>
  <c r="S35" i="390"/>
  <c r="P35" i="390"/>
  <c r="K35" i="390"/>
  <c r="L35" i="390" s="1"/>
  <c r="F35" i="390"/>
  <c r="AV34" i="390"/>
  <c r="S34" i="390"/>
  <c r="N34" i="390"/>
  <c r="L34" i="390"/>
  <c r="P34" i="390" s="1"/>
  <c r="K34" i="390"/>
  <c r="D34" i="390"/>
  <c r="F34" i="390" s="1"/>
  <c r="AV33" i="390"/>
  <c r="S33" i="390"/>
  <c r="N33" i="390"/>
  <c r="L33" i="390"/>
  <c r="K33" i="390"/>
  <c r="F33" i="390"/>
  <c r="AV32" i="390"/>
  <c r="S32" i="390"/>
  <c r="N32" i="390"/>
  <c r="L32" i="390"/>
  <c r="P32" i="390" s="1"/>
  <c r="M32" i="390" s="1"/>
  <c r="K32" i="390"/>
  <c r="F32" i="390"/>
  <c r="AV31" i="390"/>
  <c r="S31" i="390"/>
  <c r="N31" i="390"/>
  <c r="L31" i="390"/>
  <c r="P31" i="390" s="1"/>
  <c r="K31" i="390"/>
  <c r="D31" i="390"/>
  <c r="F31" i="390" s="1"/>
  <c r="AV30" i="390"/>
  <c r="S30" i="390"/>
  <c r="P30" i="390"/>
  <c r="M30" i="390" s="1"/>
  <c r="K30" i="390"/>
  <c r="L30" i="390" s="1"/>
  <c r="F30" i="390"/>
  <c r="AV29" i="390"/>
  <c r="S29" i="390"/>
  <c r="M29" i="390"/>
  <c r="O29" i="390" s="1"/>
  <c r="L29" i="390"/>
  <c r="P29" i="390" s="1"/>
  <c r="K29" i="390"/>
  <c r="D29" i="390"/>
  <c r="F29" i="390" s="1"/>
  <c r="AV28" i="390"/>
  <c r="S28" i="390"/>
  <c r="N28" i="390"/>
  <c r="K28" i="390"/>
  <c r="L28" i="390" s="1"/>
  <c r="P28" i="390" s="1"/>
  <c r="D28" i="390"/>
  <c r="F28" i="390" s="1"/>
  <c r="AV27" i="390"/>
  <c r="S27" i="390"/>
  <c r="P27" i="390"/>
  <c r="M27" i="390"/>
  <c r="K27" i="390"/>
  <c r="L27" i="390" s="1"/>
  <c r="D27" i="390"/>
  <c r="AV26" i="390"/>
  <c r="S26" i="390"/>
  <c r="K26" i="390"/>
  <c r="L26" i="390" s="1"/>
  <c r="P26" i="390" s="1"/>
  <c r="F26" i="390"/>
  <c r="AV25" i="390"/>
  <c r="S25" i="390"/>
  <c r="L25" i="390"/>
  <c r="K25" i="390"/>
  <c r="F25" i="390"/>
  <c r="AV24" i="390"/>
  <c r="S24" i="390"/>
  <c r="M24" i="390"/>
  <c r="O24" i="390" s="1"/>
  <c r="L24" i="390"/>
  <c r="P24" i="390" s="1"/>
  <c r="K24" i="390"/>
  <c r="F24" i="390"/>
  <c r="AV23" i="390"/>
  <c r="S23" i="390"/>
  <c r="K23" i="390"/>
  <c r="L23" i="390" s="1"/>
  <c r="P23" i="390" s="1"/>
  <c r="F23" i="390"/>
  <c r="AV22" i="390"/>
  <c r="S22" i="390"/>
  <c r="N22" i="390"/>
  <c r="K22" i="390"/>
  <c r="L22" i="390" s="1"/>
  <c r="P22" i="390" s="1"/>
  <c r="D22" i="390"/>
  <c r="S21" i="390"/>
  <c r="N21" i="390"/>
  <c r="K21" i="390"/>
  <c r="L21" i="390" s="1"/>
  <c r="F21" i="390"/>
  <c r="AV20" i="390"/>
  <c r="R20" i="390"/>
  <c r="R127" i="390" s="1"/>
  <c r="Q20" i="390"/>
  <c r="Q127" i="390" s="1"/>
  <c r="N20" i="390"/>
  <c r="L20" i="390"/>
  <c r="P20" i="390" s="1"/>
  <c r="K20" i="390"/>
  <c r="F20" i="390"/>
  <c r="D20" i="390"/>
  <c r="AV19" i="390"/>
  <c r="S19" i="390"/>
  <c r="P19" i="390"/>
  <c r="N19" i="390"/>
  <c r="M19" i="390"/>
  <c r="K19" i="390"/>
  <c r="L19" i="390" s="1"/>
  <c r="D19" i="390"/>
  <c r="F19" i="390" s="1"/>
  <c r="AV18" i="390"/>
  <c r="S18" i="390"/>
  <c r="K18" i="390"/>
  <c r="L18" i="390" s="1"/>
  <c r="F18" i="390"/>
  <c r="AV17" i="390"/>
  <c r="S17" i="390"/>
  <c r="L17" i="390"/>
  <c r="P17" i="390" s="1"/>
  <c r="K17" i="390"/>
  <c r="F17" i="390"/>
  <c r="D17" i="390"/>
  <c r="AV16" i="390"/>
  <c r="S16" i="390"/>
  <c r="N16" i="390"/>
  <c r="K16" i="390"/>
  <c r="L16" i="390" s="1"/>
  <c r="F16" i="390"/>
  <c r="AV15" i="390"/>
  <c r="S15" i="390"/>
  <c r="P15" i="390"/>
  <c r="L15" i="390"/>
  <c r="K15" i="390"/>
  <c r="F15" i="390"/>
  <c r="D15" i="390"/>
  <c r="AV14" i="390"/>
  <c r="S14" i="390"/>
  <c r="K14" i="390"/>
  <c r="L14" i="390" s="1"/>
  <c r="F14" i="390"/>
  <c r="AV13" i="390"/>
  <c r="S13" i="390"/>
  <c r="L13" i="390"/>
  <c r="K13" i="390"/>
  <c r="G13" i="390"/>
  <c r="P13" i="390" s="1"/>
  <c r="D13" i="390"/>
  <c r="F13" i="390" s="1"/>
  <c r="AV12" i="390"/>
  <c r="S12" i="390"/>
  <c r="K12" i="390"/>
  <c r="L12" i="390" s="1"/>
  <c r="F12" i="390"/>
  <c r="AV11" i="390"/>
  <c r="S11" i="390"/>
  <c r="N11" i="390"/>
  <c r="K11" i="390"/>
  <c r="L11" i="390" s="1"/>
  <c r="P11" i="390" s="1"/>
  <c r="D11" i="390"/>
  <c r="F11" i="390" s="1"/>
  <c r="AV10" i="390"/>
  <c r="S10" i="390"/>
  <c r="K10" i="390"/>
  <c r="L10" i="390" s="1"/>
  <c r="P10" i="390" s="1"/>
  <c r="D10" i="390"/>
  <c r="F10" i="390" s="1"/>
  <c r="AV9" i="390"/>
  <c r="S9" i="390"/>
  <c r="N9" i="390"/>
  <c r="L9" i="390"/>
  <c r="P9" i="390" s="1"/>
  <c r="K9" i="390"/>
  <c r="F9" i="390"/>
  <c r="D9" i="390"/>
  <c r="AV8" i="390"/>
  <c r="S8" i="390"/>
  <c r="L8" i="390"/>
  <c r="P8" i="390" s="1"/>
  <c r="K8" i="390"/>
  <c r="F8" i="390"/>
  <c r="AV7" i="390"/>
  <c r="S7" i="390"/>
  <c r="N7" i="390"/>
  <c r="L7" i="390"/>
  <c r="K7" i="390"/>
  <c r="G7" i="390"/>
  <c r="F7" i="390"/>
  <c r="D7" i="390"/>
  <c r="AV6" i="390"/>
  <c r="S6" i="390"/>
  <c r="N6" i="390"/>
  <c r="L6" i="390"/>
  <c r="P6" i="390" s="1"/>
  <c r="K6" i="390"/>
  <c r="D6" i="390"/>
  <c r="A6" i="390"/>
  <c r="A7" i="390" s="1"/>
  <c r="A8" i="390" s="1"/>
  <c r="A9" i="390" s="1"/>
  <c r="A10" i="390" s="1"/>
  <c r="A11" i="390" s="1"/>
  <c r="A12" i="390" s="1"/>
  <c r="A13" i="390" s="1"/>
  <c r="A14" i="390" s="1"/>
  <c r="A15" i="390" s="1"/>
  <c r="A16" i="390" s="1"/>
  <c r="A17" i="390" s="1"/>
  <c r="A18" i="390" s="1"/>
  <c r="A19" i="390" s="1"/>
  <c r="A20" i="390" s="1"/>
  <c r="A21" i="390" s="1"/>
  <c r="A22" i="390" s="1"/>
  <c r="A23" i="390" s="1"/>
  <c r="A24" i="390" s="1"/>
  <c r="A25" i="390" s="1"/>
  <c r="A26" i="390" s="1"/>
  <c r="A27" i="390" s="1"/>
  <c r="A28" i="390" s="1"/>
  <c r="A29" i="390" s="1"/>
  <c r="A30" i="390" s="1"/>
  <c r="A31" i="390" s="1"/>
  <c r="A32" i="390" s="1"/>
  <c r="A33" i="390" s="1"/>
  <c r="A34" i="390" s="1"/>
  <c r="A35" i="390" s="1"/>
  <c r="A36" i="390" s="1"/>
  <c r="A37" i="390" s="1"/>
  <c r="A38" i="390" s="1"/>
  <c r="A39" i="390" s="1"/>
  <c r="A40" i="390" s="1"/>
  <c r="A41" i="390" s="1"/>
  <c r="A42" i="390" s="1"/>
  <c r="A43" i="390" s="1"/>
  <c r="A44" i="390" s="1"/>
  <c r="A45" i="390" s="1"/>
  <c r="A46" i="390" s="1"/>
  <c r="A47" i="390" s="1"/>
  <c r="A48" i="390" s="1"/>
  <c r="A49" i="390" s="1"/>
  <c r="A50" i="390" s="1"/>
  <c r="A51" i="390" s="1"/>
  <c r="A52" i="390" s="1"/>
  <c r="A53" i="390" s="1"/>
  <c r="A54" i="390" s="1"/>
  <c r="A55" i="390" s="1"/>
  <c r="A56" i="390" s="1"/>
  <c r="A57" i="390" s="1"/>
  <c r="A58" i="390" s="1"/>
  <c r="A59" i="390" s="1"/>
  <c r="A60" i="390" s="1"/>
  <c r="A61" i="390" s="1"/>
  <c r="A62" i="390" s="1"/>
  <c r="A63" i="390" s="1"/>
  <c r="A64" i="390" s="1"/>
  <c r="A65" i="390" s="1"/>
  <c r="A66" i="390" s="1"/>
  <c r="A67" i="390" s="1"/>
  <c r="A68" i="390" s="1"/>
  <c r="A69" i="390" s="1"/>
  <c r="A70" i="390" s="1"/>
  <c r="A71" i="390" s="1"/>
  <c r="A72" i="390" s="1"/>
  <c r="A73" i="390" s="1"/>
  <c r="A74" i="390" s="1"/>
  <c r="A75" i="390" s="1"/>
  <c r="A76" i="390" s="1"/>
  <c r="A77" i="390" s="1"/>
  <c r="A78" i="390" s="1"/>
  <c r="A79" i="390" s="1"/>
  <c r="A80" i="390" s="1"/>
  <c r="A81" i="390" s="1"/>
  <c r="A82" i="390" s="1"/>
  <c r="A83" i="390" s="1"/>
  <c r="A84" i="390" s="1"/>
  <c r="A85" i="390" s="1"/>
  <c r="A86" i="390" s="1"/>
  <c r="A87" i="390" s="1"/>
  <c r="A88" i="390" s="1"/>
  <c r="A89" i="390" s="1"/>
  <c r="A90" i="390" s="1"/>
  <c r="A91" i="390" s="1"/>
  <c r="A92" i="390" s="1"/>
  <c r="A93" i="390" s="1"/>
  <c r="A94" i="390" s="1"/>
  <c r="A95" i="390" s="1"/>
  <c r="A96" i="390" s="1"/>
  <c r="A97" i="390" s="1"/>
  <c r="A98" i="390" s="1"/>
  <c r="A99" i="390" s="1"/>
  <c r="A100" i="390" s="1"/>
  <c r="A101" i="390" s="1"/>
  <c r="A102" i="390" s="1"/>
  <c r="A103" i="390" s="1"/>
  <c r="A104" i="390" s="1"/>
  <c r="A105" i="390" s="1"/>
  <c r="A106" i="390" s="1"/>
  <c r="A107" i="390" s="1"/>
  <c r="A108" i="390" s="1"/>
  <c r="A109" i="390" s="1"/>
  <c r="A110" i="390" s="1"/>
  <c r="A111" i="390" s="1"/>
  <c r="A112" i="390" s="1"/>
  <c r="A113" i="390" s="1"/>
  <c r="A114" i="390" s="1"/>
  <c r="A115" i="390" s="1"/>
  <c r="A116" i="390" s="1"/>
  <c r="A117" i="390" s="1"/>
  <c r="A118" i="390" s="1"/>
  <c r="A119" i="390" s="1"/>
  <c r="A120" i="390" s="1"/>
  <c r="A121" i="390" s="1"/>
  <c r="A122" i="390" s="1"/>
  <c r="A123" i="390" s="1"/>
  <c r="A124" i="390" s="1"/>
  <c r="A125" i="390" s="1"/>
  <c r="A126" i="390" s="1"/>
  <c r="A127" i="390" s="1"/>
  <c r="AV5" i="390"/>
  <c r="S5" i="390"/>
  <c r="L5" i="390"/>
  <c r="K5" i="390"/>
  <c r="D5" i="390"/>
  <c r="AL133" i="389"/>
  <c r="AL132" i="389"/>
  <c r="AL134" i="389" s="1"/>
  <c r="J129" i="389"/>
  <c r="E129" i="389"/>
  <c r="AY128" i="389"/>
  <c r="AX128" i="389"/>
  <c r="AX129" i="389" s="1"/>
  <c r="AW128" i="389"/>
  <c r="AW129" i="389" s="1"/>
  <c r="AV128" i="389"/>
  <c r="R128" i="389"/>
  <c r="J128" i="389"/>
  <c r="I128" i="389"/>
  <c r="I129" i="389" s="1"/>
  <c r="H128" i="389"/>
  <c r="H129" i="389" s="1"/>
  <c r="E128" i="389"/>
  <c r="AU127" i="389"/>
  <c r="Q127" i="389"/>
  <c r="S127" i="389" s="1"/>
  <c r="P127" i="389"/>
  <c r="M127" i="389" s="1"/>
  <c r="L127" i="389"/>
  <c r="K127" i="389"/>
  <c r="F127" i="389"/>
  <c r="AU126" i="389"/>
  <c r="S126" i="389"/>
  <c r="K126" i="389"/>
  <c r="L126" i="389" s="1"/>
  <c r="P126" i="389" s="1"/>
  <c r="M126" i="389" s="1"/>
  <c r="F126" i="389"/>
  <c r="AU125" i="389"/>
  <c r="S125" i="389"/>
  <c r="L125" i="389"/>
  <c r="P125" i="389" s="1"/>
  <c r="K125" i="389"/>
  <c r="F125" i="389"/>
  <c r="AZ124" i="389"/>
  <c r="AU124" i="389" s="1"/>
  <c r="Q124" i="389"/>
  <c r="S124" i="389" s="1"/>
  <c r="L124" i="389"/>
  <c r="K124" i="389"/>
  <c r="G124" i="389"/>
  <c r="P124" i="389" s="1"/>
  <c r="F124" i="389"/>
  <c r="AU123" i="389"/>
  <c r="S123" i="389"/>
  <c r="P123" i="389"/>
  <c r="L123" i="389"/>
  <c r="K123" i="389"/>
  <c r="F123" i="389"/>
  <c r="AU122" i="389"/>
  <c r="S122" i="389"/>
  <c r="K122" i="389"/>
  <c r="L122" i="389" s="1"/>
  <c r="P122" i="389" s="1"/>
  <c r="F122" i="389"/>
  <c r="AU121" i="389"/>
  <c r="S121" i="389"/>
  <c r="Q121" i="389"/>
  <c r="N121" i="389"/>
  <c r="K121" i="389"/>
  <c r="L121" i="389" s="1"/>
  <c r="G121" i="389"/>
  <c r="F121" i="389"/>
  <c r="D121" i="389"/>
  <c r="AU120" i="389"/>
  <c r="S120" i="389"/>
  <c r="Q120" i="389"/>
  <c r="L120" i="389"/>
  <c r="K120" i="389"/>
  <c r="G120" i="389"/>
  <c r="F120" i="389"/>
  <c r="AU119" i="389"/>
  <c r="Q119" i="389"/>
  <c r="S119" i="389" s="1"/>
  <c r="N119" i="389"/>
  <c r="K119" i="389"/>
  <c r="L119" i="389" s="1"/>
  <c r="G119" i="389"/>
  <c r="F119" i="389"/>
  <c r="AU118" i="389"/>
  <c r="S118" i="389"/>
  <c r="Q118" i="389"/>
  <c r="L118" i="389"/>
  <c r="P118" i="389" s="1"/>
  <c r="K118" i="389"/>
  <c r="G118" i="389"/>
  <c r="F118" i="389"/>
  <c r="D118" i="389"/>
  <c r="AU117" i="389"/>
  <c r="S117" i="389"/>
  <c r="K117" i="389"/>
  <c r="L117" i="389" s="1"/>
  <c r="F117" i="389"/>
  <c r="AU116" i="389"/>
  <c r="Q116" i="389"/>
  <c r="Q128" i="389" s="1"/>
  <c r="N116" i="389"/>
  <c r="N128" i="389" s="1"/>
  <c r="L116" i="389"/>
  <c r="P116" i="389" s="1"/>
  <c r="K116" i="389"/>
  <c r="G116" i="389"/>
  <c r="F116" i="389"/>
  <c r="AU115" i="389"/>
  <c r="S115" i="389"/>
  <c r="L115" i="389"/>
  <c r="K115" i="389"/>
  <c r="F115" i="389"/>
  <c r="P114" i="389"/>
  <c r="AX112" i="389"/>
  <c r="AW112" i="389"/>
  <c r="J112" i="389"/>
  <c r="I112" i="389"/>
  <c r="H112" i="389"/>
  <c r="E112" i="389"/>
  <c r="AU111" i="389"/>
  <c r="S111" i="389"/>
  <c r="P111" i="389"/>
  <c r="L111" i="389"/>
  <c r="K111" i="389"/>
  <c r="F111" i="389"/>
  <c r="AU110" i="389"/>
  <c r="S110" i="389"/>
  <c r="O110" i="389"/>
  <c r="K110" i="389"/>
  <c r="L110" i="389" s="1"/>
  <c r="P110" i="389" s="1"/>
  <c r="M110" i="389" s="1"/>
  <c r="F110" i="389"/>
  <c r="AU109" i="389"/>
  <c r="S109" i="389"/>
  <c r="N109" i="389"/>
  <c r="K109" i="389"/>
  <c r="L109" i="389" s="1"/>
  <c r="P109" i="389" s="1"/>
  <c r="D109" i="389"/>
  <c r="AU108" i="389"/>
  <c r="S108" i="389"/>
  <c r="O108" i="389"/>
  <c r="N108" i="389"/>
  <c r="L108" i="389"/>
  <c r="P108" i="389" s="1"/>
  <c r="M108" i="389" s="1"/>
  <c r="K108" i="389"/>
  <c r="F108" i="389"/>
  <c r="AU107" i="389"/>
  <c r="S107" i="389"/>
  <c r="O107" i="389"/>
  <c r="K107" i="389"/>
  <c r="L107" i="389" s="1"/>
  <c r="P107" i="389" s="1"/>
  <c r="M107" i="389" s="1"/>
  <c r="F107" i="389"/>
  <c r="AU106" i="389"/>
  <c r="S106" i="389"/>
  <c r="M106" i="389"/>
  <c r="L106" i="389"/>
  <c r="P106" i="389" s="1"/>
  <c r="K106" i="389"/>
  <c r="F106" i="389"/>
  <c r="AU105" i="389"/>
  <c r="S105" i="389"/>
  <c r="N105" i="389"/>
  <c r="K105" i="389"/>
  <c r="L105" i="389" s="1"/>
  <c r="F105" i="389"/>
  <c r="AU104" i="389"/>
  <c r="S104" i="389"/>
  <c r="O104" i="389"/>
  <c r="N104" i="389"/>
  <c r="L104" i="389"/>
  <c r="P104" i="389" s="1"/>
  <c r="M104" i="389" s="1"/>
  <c r="K104" i="389"/>
  <c r="F104" i="389"/>
  <c r="AU103" i="389"/>
  <c r="S103" i="389"/>
  <c r="K103" i="389"/>
  <c r="L103" i="389" s="1"/>
  <c r="F103" i="389"/>
  <c r="AU102" i="389"/>
  <c r="S102" i="389"/>
  <c r="L102" i="389"/>
  <c r="P102" i="389" s="1"/>
  <c r="K102" i="389"/>
  <c r="F102" i="389"/>
  <c r="D102" i="389"/>
  <c r="AY101" i="389"/>
  <c r="AY112" i="389" s="1"/>
  <c r="S101" i="389"/>
  <c r="N101" i="389"/>
  <c r="K101" i="389"/>
  <c r="L101" i="389" s="1"/>
  <c r="F101" i="389"/>
  <c r="D101" i="389"/>
  <c r="AU100" i="389"/>
  <c r="S100" i="389"/>
  <c r="Q100" i="389"/>
  <c r="N100" i="389"/>
  <c r="K100" i="389"/>
  <c r="L100" i="389" s="1"/>
  <c r="G100" i="389"/>
  <c r="F100" i="389"/>
  <c r="AU99" i="389"/>
  <c r="S99" i="389"/>
  <c r="Q99" i="389"/>
  <c r="L99" i="389"/>
  <c r="K99" i="389"/>
  <c r="F99" i="389"/>
  <c r="AU98" i="389"/>
  <c r="S98" i="389"/>
  <c r="Q98" i="389"/>
  <c r="L98" i="389"/>
  <c r="K98" i="389"/>
  <c r="F98" i="389"/>
  <c r="AU97" i="389"/>
  <c r="S97" i="389"/>
  <c r="N97" i="389"/>
  <c r="L97" i="389"/>
  <c r="P97" i="389" s="1"/>
  <c r="K97" i="389"/>
  <c r="F97" i="389"/>
  <c r="D97" i="389"/>
  <c r="AU96" i="389"/>
  <c r="Q96" i="389"/>
  <c r="S96" i="389" s="1"/>
  <c r="N96" i="389"/>
  <c r="L96" i="389"/>
  <c r="P96" i="389" s="1"/>
  <c r="K96" i="389"/>
  <c r="G96" i="389"/>
  <c r="F96" i="389"/>
  <c r="D96" i="389"/>
  <c r="AU95" i="389"/>
  <c r="S95" i="389"/>
  <c r="P95" i="389"/>
  <c r="L95" i="389"/>
  <c r="K95" i="389"/>
  <c r="F95" i="389"/>
  <c r="AU94" i="389"/>
  <c r="S94" i="389"/>
  <c r="L94" i="389"/>
  <c r="P94" i="389" s="1"/>
  <c r="M94" i="389" s="1"/>
  <c r="O94" i="389" s="1"/>
  <c r="K94" i="389"/>
  <c r="F94" i="389"/>
  <c r="AU93" i="389"/>
  <c r="S93" i="389"/>
  <c r="M93" i="389"/>
  <c r="L93" i="389"/>
  <c r="P93" i="389" s="1"/>
  <c r="K93" i="389"/>
  <c r="F93" i="389"/>
  <c r="AU92" i="389"/>
  <c r="S92" i="389"/>
  <c r="P92" i="389"/>
  <c r="N92" i="389"/>
  <c r="M92" i="389"/>
  <c r="L92" i="389"/>
  <c r="O92" i="389" s="1"/>
  <c r="K92" i="389"/>
  <c r="F92" i="389"/>
  <c r="AU91" i="389"/>
  <c r="Q91" i="389"/>
  <c r="S91" i="389" s="1"/>
  <c r="N91" i="389"/>
  <c r="L91" i="389"/>
  <c r="P91" i="389" s="1"/>
  <c r="F91" i="389"/>
  <c r="D91" i="389"/>
  <c r="AU90" i="389"/>
  <c r="S90" i="389"/>
  <c r="Q90" i="389"/>
  <c r="N90" i="389"/>
  <c r="L90" i="389"/>
  <c r="P90" i="389" s="1"/>
  <c r="K90" i="389"/>
  <c r="F90" i="389"/>
  <c r="D90" i="389"/>
  <c r="AU89" i="389"/>
  <c r="Q89" i="389"/>
  <c r="S89" i="389" s="1"/>
  <c r="N89" i="389"/>
  <c r="L89" i="389"/>
  <c r="F89" i="389"/>
  <c r="D89" i="389"/>
  <c r="AU88" i="389"/>
  <c r="S88" i="389"/>
  <c r="M88" i="389" s="1"/>
  <c r="O88" i="389" s="1"/>
  <c r="Q88" i="389"/>
  <c r="P88" i="389"/>
  <c r="N88" i="389"/>
  <c r="L88" i="389"/>
  <c r="F88" i="389"/>
  <c r="AU87" i="389"/>
  <c r="S87" i="389"/>
  <c r="Q87" i="389"/>
  <c r="L87" i="389"/>
  <c r="P87" i="389" s="1"/>
  <c r="K87" i="389"/>
  <c r="D87" i="389"/>
  <c r="AU86" i="389"/>
  <c r="S86" i="389"/>
  <c r="P86" i="389"/>
  <c r="N86" i="389"/>
  <c r="M86" i="389"/>
  <c r="L86" i="389"/>
  <c r="K86" i="389"/>
  <c r="D86" i="389"/>
  <c r="AU85" i="389"/>
  <c r="S85" i="389"/>
  <c r="M85" i="389" s="1"/>
  <c r="P85" i="389"/>
  <c r="L85" i="389"/>
  <c r="K85" i="389"/>
  <c r="F85" i="389"/>
  <c r="AU84" i="389"/>
  <c r="S84" i="389"/>
  <c r="L84" i="389"/>
  <c r="K84" i="389"/>
  <c r="F84" i="389"/>
  <c r="AZ83" i="389"/>
  <c r="AU83" i="389"/>
  <c r="Q83" i="389"/>
  <c r="S83" i="389" s="1"/>
  <c r="N83" i="389"/>
  <c r="L83" i="389"/>
  <c r="K83" i="389"/>
  <c r="G83" i="389"/>
  <c r="F83" i="389"/>
  <c r="AU82" i="389"/>
  <c r="S82" i="389"/>
  <c r="Q82" i="389"/>
  <c r="L82" i="389"/>
  <c r="K82" i="389"/>
  <c r="G82" i="389"/>
  <c r="P82" i="389" s="1"/>
  <c r="M82" i="389" s="1"/>
  <c r="O82" i="389" s="1"/>
  <c r="F82" i="389"/>
  <c r="D82" i="389"/>
  <c r="AU81" i="389"/>
  <c r="S81" i="389"/>
  <c r="Q81" i="389"/>
  <c r="K81" i="389"/>
  <c r="L81" i="389" s="1"/>
  <c r="G81" i="389"/>
  <c r="F81" i="389"/>
  <c r="AU80" i="389"/>
  <c r="S80" i="389"/>
  <c r="N80" i="389"/>
  <c r="L80" i="389"/>
  <c r="P80" i="389" s="1"/>
  <c r="M80" i="389" s="1"/>
  <c r="K80" i="389"/>
  <c r="D80" i="389"/>
  <c r="F80" i="389" s="1"/>
  <c r="AU79" i="389"/>
  <c r="S79" i="389"/>
  <c r="P79" i="389"/>
  <c r="N79" i="389"/>
  <c r="K79" i="389"/>
  <c r="L79" i="389" s="1"/>
  <c r="F79" i="389"/>
  <c r="AU78" i="389"/>
  <c r="S78" i="389"/>
  <c r="N78" i="389"/>
  <c r="K78" i="389"/>
  <c r="L78" i="389" s="1"/>
  <c r="P78" i="389" s="1"/>
  <c r="F78" i="389"/>
  <c r="AU77" i="389"/>
  <c r="S77" i="389"/>
  <c r="L77" i="389"/>
  <c r="K77" i="389"/>
  <c r="F77" i="389"/>
  <c r="AU76" i="389"/>
  <c r="S76" i="389"/>
  <c r="K76" i="389"/>
  <c r="L76" i="389" s="1"/>
  <c r="P76" i="389" s="1"/>
  <c r="M76" i="389" s="1"/>
  <c r="D76" i="389"/>
  <c r="AU75" i="389"/>
  <c r="S75" i="389"/>
  <c r="P75" i="389"/>
  <c r="K75" i="389"/>
  <c r="L75" i="389" s="1"/>
  <c r="F75" i="389"/>
  <c r="AZ74" i="389"/>
  <c r="AU74" i="389" s="1"/>
  <c r="Q74" i="389"/>
  <c r="S74" i="389" s="1"/>
  <c r="K74" i="389"/>
  <c r="L74" i="389" s="1"/>
  <c r="P74" i="389" s="1"/>
  <c r="F74" i="389"/>
  <c r="AU73" i="389"/>
  <c r="S73" i="389"/>
  <c r="P73" i="389"/>
  <c r="O73" i="389"/>
  <c r="M73" i="389"/>
  <c r="L73" i="389"/>
  <c r="K73" i="389"/>
  <c r="F73" i="389"/>
  <c r="AU72" i="389"/>
  <c r="S72" i="389"/>
  <c r="N72" i="389"/>
  <c r="L72" i="389"/>
  <c r="K72" i="389"/>
  <c r="F72" i="389"/>
  <c r="AU71" i="389"/>
  <c r="S71" i="389"/>
  <c r="K71" i="389"/>
  <c r="L71" i="389" s="1"/>
  <c r="F71" i="389"/>
  <c r="AU70" i="389"/>
  <c r="S70" i="389"/>
  <c r="K70" i="389"/>
  <c r="L70" i="389" s="1"/>
  <c r="F70" i="389"/>
  <c r="AU69" i="389"/>
  <c r="S69" i="389"/>
  <c r="N69" i="389"/>
  <c r="K69" i="389"/>
  <c r="L69" i="389" s="1"/>
  <c r="P69" i="389" s="1"/>
  <c r="M69" i="389" s="1"/>
  <c r="F69" i="389"/>
  <c r="D69" i="389"/>
  <c r="AU68" i="389"/>
  <c r="S68" i="389"/>
  <c r="K68" i="389"/>
  <c r="L68" i="389" s="1"/>
  <c r="F68" i="389"/>
  <c r="AU67" i="389"/>
  <c r="S67" i="389"/>
  <c r="N67" i="389"/>
  <c r="K67" i="389"/>
  <c r="L67" i="389" s="1"/>
  <c r="F67" i="389"/>
  <c r="AU66" i="389"/>
  <c r="S66" i="389"/>
  <c r="L66" i="389"/>
  <c r="K66" i="389"/>
  <c r="F66" i="389"/>
  <c r="AV65" i="389"/>
  <c r="S65" i="389"/>
  <c r="N65" i="389"/>
  <c r="K65" i="389"/>
  <c r="L65" i="389" s="1"/>
  <c r="F65" i="389"/>
  <c r="D65" i="389"/>
  <c r="AU64" i="389"/>
  <c r="S64" i="389"/>
  <c r="N64" i="389"/>
  <c r="L64" i="389"/>
  <c r="P64" i="389" s="1"/>
  <c r="K64" i="389"/>
  <c r="F64" i="389"/>
  <c r="AU63" i="389"/>
  <c r="S63" i="389"/>
  <c r="K63" i="389"/>
  <c r="L63" i="389" s="1"/>
  <c r="P63" i="389" s="1"/>
  <c r="F63" i="389"/>
  <c r="AU62" i="389"/>
  <c r="S62" i="389"/>
  <c r="Q62" i="389"/>
  <c r="P62" i="389"/>
  <c r="N62" i="389"/>
  <c r="M62" i="389"/>
  <c r="L62" i="389"/>
  <c r="K62" i="389"/>
  <c r="F62" i="389"/>
  <c r="AU61" i="389"/>
  <c r="S61" i="389"/>
  <c r="N61" i="389"/>
  <c r="K61" i="389"/>
  <c r="L61" i="389" s="1"/>
  <c r="F61" i="389"/>
  <c r="AU60" i="389"/>
  <c r="S60" i="389"/>
  <c r="M60" i="389" s="1"/>
  <c r="O60" i="389" s="1"/>
  <c r="Q60" i="389"/>
  <c r="K60" i="389"/>
  <c r="L60" i="389" s="1"/>
  <c r="P60" i="389" s="1"/>
  <c r="G60" i="389"/>
  <c r="F60" i="389"/>
  <c r="AU59" i="389"/>
  <c r="S59" i="389"/>
  <c r="O59" i="389"/>
  <c r="M59" i="389"/>
  <c r="K59" i="389"/>
  <c r="L59" i="389" s="1"/>
  <c r="P59" i="389" s="1"/>
  <c r="F59" i="389"/>
  <c r="AU58" i="389"/>
  <c r="S58" i="389"/>
  <c r="L58" i="389"/>
  <c r="K58" i="389"/>
  <c r="F58" i="389"/>
  <c r="AU57" i="389"/>
  <c r="S57" i="389"/>
  <c r="K57" i="389"/>
  <c r="L57" i="389" s="1"/>
  <c r="F57" i="389"/>
  <c r="AU56" i="389"/>
  <c r="S56" i="389"/>
  <c r="N56" i="389"/>
  <c r="L56" i="389"/>
  <c r="P56" i="389" s="1"/>
  <c r="K56" i="389"/>
  <c r="F56" i="389"/>
  <c r="AU55" i="389"/>
  <c r="S55" i="389"/>
  <c r="K55" i="389"/>
  <c r="L55" i="389" s="1"/>
  <c r="P55" i="389" s="1"/>
  <c r="F55" i="389"/>
  <c r="AU54" i="389"/>
  <c r="S54" i="389"/>
  <c r="N54" i="389"/>
  <c r="L54" i="389"/>
  <c r="P54" i="389" s="1"/>
  <c r="K54" i="389"/>
  <c r="F54" i="389"/>
  <c r="AU53" i="389"/>
  <c r="S53" i="389"/>
  <c r="K53" i="389"/>
  <c r="L53" i="389" s="1"/>
  <c r="P53" i="389" s="1"/>
  <c r="F53" i="389"/>
  <c r="AU52" i="389"/>
  <c r="S52" i="389"/>
  <c r="K52" i="389"/>
  <c r="L52" i="389" s="1"/>
  <c r="F52" i="389"/>
  <c r="AU51" i="389"/>
  <c r="S51" i="389"/>
  <c r="L51" i="389"/>
  <c r="K51" i="389"/>
  <c r="F51" i="389"/>
  <c r="AU50" i="389"/>
  <c r="S50" i="389"/>
  <c r="N50" i="389"/>
  <c r="L50" i="389"/>
  <c r="P50" i="389" s="1"/>
  <c r="K50" i="389"/>
  <c r="D50" i="389"/>
  <c r="AU49" i="389"/>
  <c r="S49" i="389"/>
  <c r="N49" i="389"/>
  <c r="K49" i="389"/>
  <c r="L49" i="389" s="1"/>
  <c r="F49" i="389"/>
  <c r="AU48" i="389"/>
  <c r="S48" i="389"/>
  <c r="Q48" i="389"/>
  <c r="N48" i="389"/>
  <c r="K48" i="389"/>
  <c r="L48" i="389" s="1"/>
  <c r="G48" i="389"/>
  <c r="F48" i="389"/>
  <c r="AU47" i="389"/>
  <c r="S47" i="389"/>
  <c r="N47" i="389"/>
  <c r="L47" i="389"/>
  <c r="P47" i="389" s="1"/>
  <c r="K47" i="389"/>
  <c r="F47" i="389"/>
  <c r="AU46" i="389"/>
  <c r="S46" i="389"/>
  <c r="N46" i="389"/>
  <c r="K46" i="389"/>
  <c r="L46" i="389" s="1"/>
  <c r="F46" i="389"/>
  <c r="AU45" i="389"/>
  <c r="S45" i="389"/>
  <c r="R45" i="389"/>
  <c r="P45" i="389"/>
  <c r="M45" i="389" s="1"/>
  <c r="N45" i="389"/>
  <c r="L45" i="389"/>
  <c r="K45" i="389"/>
  <c r="F45" i="389"/>
  <c r="AU44" i="389"/>
  <c r="R44" i="389"/>
  <c r="R112" i="389" s="1"/>
  <c r="L44" i="389"/>
  <c r="K44" i="389"/>
  <c r="G44" i="389"/>
  <c r="P44" i="389" s="1"/>
  <c r="F44" i="389"/>
  <c r="AU43" i="389"/>
  <c r="S43" i="389"/>
  <c r="Q43" i="389"/>
  <c r="N43" i="389"/>
  <c r="L43" i="389"/>
  <c r="P43" i="389" s="1"/>
  <c r="M43" i="389" s="1"/>
  <c r="K43" i="389"/>
  <c r="F43" i="389"/>
  <c r="AU42" i="389"/>
  <c r="S42" i="389"/>
  <c r="K42" i="389"/>
  <c r="L42" i="389" s="1"/>
  <c r="P42" i="389" s="1"/>
  <c r="F42" i="389"/>
  <c r="D42" i="389"/>
  <c r="AU41" i="389"/>
  <c r="S41" i="389"/>
  <c r="O41" i="389"/>
  <c r="M41" i="389"/>
  <c r="K41" i="389"/>
  <c r="L41" i="389" s="1"/>
  <c r="P41" i="389" s="1"/>
  <c r="F41" i="389"/>
  <c r="AU40" i="389"/>
  <c r="S40" i="389"/>
  <c r="M40" i="389" s="1"/>
  <c r="O40" i="389" s="1"/>
  <c r="N40" i="389"/>
  <c r="K40" i="389"/>
  <c r="L40" i="389" s="1"/>
  <c r="P40" i="389" s="1"/>
  <c r="F40" i="389"/>
  <c r="AU39" i="389"/>
  <c r="S39" i="389"/>
  <c r="M39" i="389" s="1"/>
  <c r="O39" i="389" s="1"/>
  <c r="N39" i="389"/>
  <c r="K39" i="389"/>
  <c r="L39" i="389" s="1"/>
  <c r="P39" i="389" s="1"/>
  <c r="F39" i="389"/>
  <c r="D39" i="389"/>
  <c r="AU38" i="389"/>
  <c r="S38" i="389"/>
  <c r="N38" i="389"/>
  <c r="K38" i="389"/>
  <c r="L38" i="389" s="1"/>
  <c r="F38" i="389"/>
  <c r="D38" i="389"/>
  <c r="AU37" i="389"/>
  <c r="S37" i="389"/>
  <c r="K37" i="389"/>
  <c r="L37" i="389" s="1"/>
  <c r="F37" i="389"/>
  <c r="AU36" i="389"/>
  <c r="S36" i="389"/>
  <c r="K36" i="389"/>
  <c r="L36" i="389" s="1"/>
  <c r="P36" i="389" s="1"/>
  <c r="F36" i="389"/>
  <c r="D36" i="389"/>
  <c r="AU35" i="389"/>
  <c r="S35" i="389"/>
  <c r="P35" i="389"/>
  <c r="M35" i="389" s="1"/>
  <c r="K35" i="389"/>
  <c r="L35" i="389" s="1"/>
  <c r="D35" i="389"/>
  <c r="O35" i="389" s="1"/>
  <c r="AU34" i="389"/>
  <c r="S34" i="389"/>
  <c r="N34" i="389"/>
  <c r="L34" i="389"/>
  <c r="P34" i="389" s="1"/>
  <c r="K34" i="389"/>
  <c r="F34" i="389"/>
  <c r="AU33" i="389"/>
  <c r="S33" i="389"/>
  <c r="N33" i="389"/>
  <c r="K33" i="389"/>
  <c r="L33" i="389" s="1"/>
  <c r="F33" i="389"/>
  <c r="AU32" i="389"/>
  <c r="S32" i="389"/>
  <c r="P32" i="389"/>
  <c r="M32" i="389" s="1"/>
  <c r="N32" i="389"/>
  <c r="L32" i="389"/>
  <c r="K32" i="389"/>
  <c r="F32" i="389"/>
  <c r="D32" i="389"/>
  <c r="O32" i="389" s="1"/>
  <c r="AU31" i="389"/>
  <c r="S31" i="389"/>
  <c r="N31" i="389"/>
  <c r="L31" i="389"/>
  <c r="P31" i="389" s="1"/>
  <c r="K31" i="389"/>
  <c r="F31" i="389"/>
  <c r="AU30" i="389"/>
  <c r="S30" i="389"/>
  <c r="Q30" i="389"/>
  <c r="L30" i="389"/>
  <c r="K30" i="389"/>
  <c r="G30" i="389"/>
  <c r="F30" i="389"/>
  <c r="AU29" i="389"/>
  <c r="S29" i="389"/>
  <c r="K29" i="389"/>
  <c r="L29" i="389" s="1"/>
  <c r="F29" i="389"/>
  <c r="AU28" i="389"/>
  <c r="S28" i="389"/>
  <c r="L28" i="389"/>
  <c r="P28" i="389" s="1"/>
  <c r="K28" i="389"/>
  <c r="F28" i="389"/>
  <c r="AZ27" i="389"/>
  <c r="AU27" i="389" s="1"/>
  <c r="S27" i="389"/>
  <c r="K27" i="389"/>
  <c r="L27" i="389" s="1"/>
  <c r="P27" i="389" s="1"/>
  <c r="F27" i="389"/>
  <c r="D27" i="389"/>
  <c r="AZ26" i="389"/>
  <c r="AU26" i="389"/>
  <c r="S26" i="389"/>
  <c r="L26" i="389"/>
  <c r="P26" i="389" s="1"/>
  <c r="K26" i="389"/>
  <c r="F26" i="389"/>
  <c r="AU25" i="389"/>
  <c r="S25" i="389"/>
  <c r="P25" i="389"/>
  <c r="N25" i="389"/>
  <c r="M25" i="389"/>
  <c r="L25" i="389"/>
  <c r="O25" i="389" s="1"/>
  <c r="K25" i="389"/>
  <c r="F25" i="389"/>
  <c r="AU24" i="389"/>
  <c r="S24" i="389"/>
  <c r="P24" i="389"/>
  <c r="N24" i="389"/>
  <c r="M24" i="389"/>
  <c r="L24" i="389"/>
  <c r="O24" i="389" s="1"/>
  <c r="K24" i="389"/>
  <c r="F24" i="389"/>
  <c r="AU23" i="389"/>
  <c r="S23" i="389"/>
  <c r="L23" i="389"/>
  <c r="P23" i="389" s="1"/>
  <c r="K23" i="389"/>
  <c r="F23" i="389"/>
  <c r="AU22" i="389"/>
  <c r="S22" i="389"/>
  <c r="N22" i="389"/>
  <c r="L22" i="389"/>
  <c r="P22" i="389" s="1"/>
  <c r="K22" i="389"/>
  <c r="F22" i="389"/>
  <c r="AU21" i="389"/>
  <c r="S21" i="389"/>
  <c r="N21" i="389"/>
  <c r="L21" i="389"/>
  <c r="P21" i="389" s="1"/>
  <c r="K21" i="389"/>
  <c r="D21" i="389"/>
  <c r="F21" i="389" s="1"/>
  <c r="AU20" i="389"/>
  <c r="S20" i="389"/>
  <c r="L20" i="389"/>
  <c r="P20" i="389" s="1"/>
  <c r="K20" i="389"/>
  <c r="D20" i="389"/>
  <c r="F20" i="389" s="1"/>
  <c r="AU19" i="389"/>
  <c r="S19" i="389"/>
  <c r="L19" i="389"/>
  <c r="P19" i="389" s="1"/>
  <c r="K19" i="389"/>
  <c r="D19" i="389"/>
  <c r="F19" i="389" s="1"/>
  <c r="AU18" i="389"/>
  <c r="S18" i="389"/>
  <c r="L18" i="389"/>
  <c r="P18" i="389" s="1"/>
  <c r="K18" i="389"/>
  <c r="F18" i="389"/>
  <c r="AU17" i="389"/>
  <c r="S17" i="389"/>
  <c r="K17" i="389"/>
  <c r="L17" i="389" s="1"/>
  <c r="F17" i="389"/>
  <c r="AU16" i="389"/>
  <c r="S16" i="389"/>
  <c r="P16" i="389"/>
  <c r="M16" i="389"/>
  <c r="O16" i="389" s="1"/>
  <c r="L16" i="389"/>
  <c r="K16" i="389"/>
  <c r="F16" i="389"/>
  <c r="AU15" i="389"/>
  <c r="S15" i="389"/>
  <c r="N15" i="389"/>
  <c r="L15" i="389"/>
  <c r="P15" i="389" s="1"/>
  <c r="K15" i="389"/>
  <c r="F15" i="389"/>
  <c r="AU14" i="389"/>
  <c r="S14" i="389"/>
  <c r="N14" i="389"/>
  <c r="L14" i="389"/>
  <c r="P14" i="389" s="1"/>
  <c r="K14" i="389"/>
  <c r="F14" i="389"/>
  <c r="D14" i="389"/>
  <c r="AU13" i="389"/>
  <c r="S13" i="389"/>
  <c r="P13" i="389"/>
  <c r="M13" i="389"/>
  <c r="L13" i="389"/>
  <c r="K13" i="389"/>
  <c r="F13" i="389"/>
  <c r="D13" i="389"/>
  <c r="O13" i="389" s="1"/>
  <c r="AU12" i="389"/>
  <c r="Q12" i="389"/>
  <c r="Q112" i="389" s="1"/>
  <c r="K12" i="389"/>
  <c r="L12" i="389" s="1"/>
  <c r="G12" i="389"/>
  <c r="G112" i="389" s="1"/>
  <c r="D12" i="389"/>
  <c r="F12" i="389" s="1"/>
  <c r="AZ11" i="389"/>
  <c r="AZ112" i="389" s="1"/>
  <c r="S11" i="389"/>
  <c r="P11" i="389"/>
  <c r="N11" i="389"/>
  <c r="M11" i="389"/>
  <c r="L11" i="389"/>
  <c r="K11" i="389"/>
  <c r="F11" i="389"/>
  <c r="D11" i="389"/>
  <c r="AU10" i="389"/>
  <c r="S10" i="389"/>
  <c r="L10" i="389"/>
  <c r="P10" i="389" s="1"/>
  <c r="K10" i="389"/>
  <c r="F10" i="389"/>
  <c r="AU9" i="389"/>
  <c r="S9" i="389"/>
  <c r="P9" i="389"/>
  <c r="N9" i="389"/>
  <c r="M9" i="389"/>
  <c r="L9" i="389"/>
  <c r="K9" i="389"/>
  <c r="F9" i="389"/>
  <c r="D9" i="389"/>
  <c r="AU8" i="389"/>
  <c r="S8" i="389"/>
  <c r="L8" i="389"/>
  <c r="P8" i="389" s="1"/>
  <c r="K8" i="389"/>
  <c r="F8" i="389"/>
  <c r="D8" i="389"/>
  <c r="AU7" i="389"/>
  <c r="S7" i="389"/>
  <c r="M7" i="389"/>
  <c r="L7" i="389"/>
  <c r="P7" i="389" s="1"/>
  <c r="K7" i="389"/>
  <c r="F7" i="389"/>
  <c r="AU6" i="389"/>
  <c r="S6" i="389"/>
  <c r="L6" i="389"/>
  <c r="K6" i="389"/>
  <c r="F6" i="389"/>
  <c r="A6" i="389"/>
  <c r="A7" i="389" s="1"/>
  <c r="A8" i="389" s="1"/>
  <c r="A9" i="389" s="1"/>
  <c r="A10" i="389" s="1"/>
  <c r="A11" i="389" s="1"/>
  <c r="A12" i="389" s="1"/>
  <c r="A13" i="389" s="1"/>
  <c r="A14" i="389" s="1"/>
  <c r="A15" i="389" s="1"/>
  <c r="A16" i="389" s="1"/>
  <c r="A17" i="389" s="1"/>
  <c r="A18" i="389" s="1"/>
  <c r="A19" i="389" s="1"/>
  <c r="A20" i="389" s="1"/>
  <c r="A21" i="389" s="1"/>
  <c r="A22" i="389" s="1"/>
  <c r="A23" i="389" s="1"/>
  <c r="A24" i="389" s="1"/>
  <c r="A25" i="389" s="1"/>
  <c r="A26" i="389" s="1"/>
  <c r="A27" i="389" s="1"/>
  <c r="A28" i="389" s="1"/>
  <c r="A29" i="389" s="1"/>
  <c r="A30" i="389" s="1"/>
  <c r="A31" i="389" s="1"/>
  <c r="A32" i="389" s="1"/>
  <c r="A33" i="389" s="1"/>
  <c r="A34" i="389" s="1"/>
  <c r="A35" i="389" s="1"/>
  <c r="A36" i="389" s="1"/>
  <c r="A37" i="389" s="1"/>
  <c r="A38" i="389" s="1"/>
  <c r="A39" i="389" s="1"/>
  <c r="A40" i="389" s="1"/>
  <c r="A41" i="389" s="1"/>
  <c r="A42" i="389" s="1"/>
  <c r="A43" i="389" s="1"/>
  <c r="A44" i="389" s="1"/>
  <c r="A45" i="389" s="1"/>
  <c r="A46" i="389" s="1"/>
  <c r="A47" i="389" s="1"/>
  <c r="A48" i="389" s="1"/>
  <c r="A49" i="389" s="1"/>
  <c r="A50" i="389" s="1"/>
  <c r="A51" i="389" s="1"/>
  <c r="A52" i="389" s="1"/>
  <c r="A53" i="389" s="1"/>
  <c r="A54" i="389" s="1"/>
  <c r="A55" i="389" s="1"/>
  <c r="A56" i="389" s="1"/>
  <c r="A57" i="389" s="1"/>
  <c r="A58" i="389" s="1"/>
  <c r="A59" i="389" s="1"/>
  <c r="A60" i="389" s="1"/>
  <c r="A61" i="389" s="1"/>
  <c r="A62" i="389" s="1"/>
  <c r="A63" i="389" s="1"/>
  <c r="A64" i="389" s="1"/>
  <c r="A65" i="389" s="1"/>
  <c r="A66" i="389" s="1"/>
  <c r="A67" i="389" s="1"/>
  <c r="A68" i="389" s="1"/>
  <c r="A69" i="389" s="1"/>
  <c r="A70" i="389" s="1"/>
  <c r="A71" i="389" s="1"/>
  <c r="A72" i="389" s="1"/>
  <c r="A73" i="389" s="1"/>
  <c r="A74" i="389" s="1"/>
  <c r="A75" i="389" s="1"/>
  <c r="A76" i="389" s="1"/>
  <c r="A77" i="389" s="1"/>
  <c r="A78" i="389" s="1"/>
  <c r="A79" i="389" s="1"/>
  <c r="A80" i="389" s="1"/>
  <c r="A81" i="389" s="1"/>
  <c r="A82" i="389" s="1"/>
  <c r="A83" i="389" s="1"/>
  <c r="A84" i="389" s="1"/>
  <c r="A85" i="389" s="1"/>
  <c r="A86" i="389" s="1"/>
  <c r="A87" i="389" s="1"/>
  <c r="A88" i="389" s="1"/>
  <c r="A89" i="389" s="1"/>
  <c r="A90" i="389" s="1"/>
  <c r="A91" i="389" s="1"/>
  <c r="A92" i="389" s="1"/>
  <c r="A93" i="389" s="1"/>
  <c r="A94" i="389" s="1"/>
  <c r="A95" i="389" s="1"/>
  <c r="A96" i="389" s="1"/>
  <c r="A97" i="389" s="1"/>
  <c r="A98" i="389" s="1"/>
  <c r="A99" i="389" s="1"/>
  <c r="A100" i="389" s="1"/>
  <c r="A101" i="389" s="1"/>
  <c r="A102" i="389" s="1"/>
  <c r="A103" i="389" s="1"/>
  <c r="A104" i="389" s="1"/>
  <c r="A105" i="389" s="1"/>
  <c r="A106" i="389" s="1"/>
  <c r="A107" i="389" s="1"/>
  <c r="A108" i="389" s="1"/>
  <c r="A109" i="389" s="1"/>
  <c r="A110" i="389" s="1"/>
  <c r="A111" i="389" s="1"/>
  <c r="A115" i="389" s="1"/>
  <c r="A116" i="389" s="1"/>
  <c r="A117" i="389" s="1"/>
  <c r="A118" i="389" s="1"/>
  <c r="A119" i="389" s="1"/>
  <c r="A120" i="389" s="1"/>
  <c r="A121" i="389" s="1"/>
  <c r="A122" i="389" s="1"/>
  <c r="A123" i="389" s="1"/>
  <c r="A124" i="389" s="1"/>
  <c r="A125" i="389" s="1"/>
  <c r="A126" i="389" s="1"/>
  <c r="A127" i="389" s="1"/>
  <c r="A129" i="389" s="1"/>
  <c r="AU5" i="389"/>
  <c r="S5" i="389"/>
  <c r="N5" i="389"/>
  <c r="L5" i="389"/>
  <c r="K5" i="389"/>
  <c r="D5" i="389"/>
  <c r="AL80" i="388"/>
  <c r="AZ77" i="388"/>
  <c r="AY77" i="388"/>
  <c r="AX77" i="388"/>
  <c r="AW77" i="388"/>
  <c r="AV77" i="388"/>
  <c r="R77" i="388"/>
  <c r="J77" i="388"/>
  <c r="I77" i="388"/>
  <c r="H77" i="388"/>
  <c r="E77" i="388"/>
  <c r="AU76" i="388"/>
  <c r="O76" i="388"/>
  <c r="N76" i="388"/>
  <c r="F76" i="388"/>
  <c r="AU75" i="388"/>
  <c r="N75" i="388"/>
  <c r="F75" i="388"/>
  <c r="AU74" i="388"/>
  <c r="S74" i="388"/>
  <c r="K74" i="388"/>
  <c r="L74" i="388" s="1"/>
  <c r="F74" i="388"/>
  <c r="AU73" i="388"/>
  <c r="O73" i="388"/>
  <c r="N73" i="388"/>
  <c r="F73" i="388"/>
  <c r="O72" i="388"/>
  <c r="N72" i="388"/>
  <c r="F72" i="388"/>
  <c r="AU71" i="388"/>
  <c r="O71" i="388"/>
  <c r="N71" i="388"/>
  <c r="F71" i="388"/>
  <c r="AU70" i="388"/>
  <c r="S70" i="388"/>
  <c r="N70" i="388"/>
  <c r="L70" i="388"/>
  <c r="P70" i="388" s="1"/>
  <c r="K70" i="388"/>
  <c r="F70" i="388"/>
  <c r="AU69" i="388"/>
  <c r="S69" i="388"/>
  <c r="N69" i="388"/>
  <c r="L69" i="388"/>
  <c r="P69" i="388" s="1"/>
  <c r="K69" i="388"/>
  <c r="F69" i="388"/>
  <c r="AU68" i="388"/>
  <c r="S68" i="388"/>
  <c r="N68" i="388"/>
  <c r="L68" i="388"/>
  <c r="P68" i="388" s="1"/>
  <c r="K68" i="388"/>
  <c r="F68" i="388"/>
  <c r="AU67" i="388"/>
  <c r="S67" i="388"/>
  <c r="N67" i="388"/>
  <c r="L67" i="388"/>
  <c r="P67" i="388" s="1"/>
  <c r="K67" i="388"/>
  <c r="F67" i="388"/>
  <c r="AU66" i="388"/>
  <c r="S66" i="388"/>
  <c r="K66" i="388"/>
  <c r="L66" i="388" s="1"/>
  <c r="F66" i="388"/>
  <c r="AU65" i="388"/>
  <c r="S65" i="388"/>
  <c r="P65" i="388"/>
  <c r="L65" i="388"/>
  <c r="K65" i="388"/>
  <c r="F65" i="388"/>
  <c r="AU64" i="388"/>
  <c r="S64" i="388"/>
  <c r="N64" i="388"/>
  <c r="L64" i="388"/>
  <c r="P64" i="388" s="1"/>
  <c r="K64" i="388"/>
  <c r="F64" i="388"/>
  <c r="AU63" i="388"/>
  <c r="S63" i="388"/>
  <c r="N63" i="388"/>
  <c r="L63" i="388"/>
  <c r="P63" i="388" s="1"/>
  <c r="K63" i="388"/>
  <c r="F63" i="388"/>
  <c r="AU62" i="388"/>
  <c r="S62" i="388"/>
  <c r="L62" i="388"/>
  <c r="P62" i="388" s="1"/>
  <c r="K62" i="388"/>
  <c r="F62" i="388"/>
  <c r="AU61" i="388"/>
  <c r="S61" i="388"/>
  <c r="M61" i="388"/>
  <c r="O61" i="388" s="1"/>
  <c r="L61" i="388"/>
  <c r="P61" i="388" s="1"/>
  <c r="F61" i="388"/>
  <c r="AU60" i="388"/>
  <c r="S60" i="388"/>
  <c r="N60" i="388"/>
  <c r="L60" i="388"/>
  <c r="K60" i="388"/>
  <c r="F60" i="388"/>
  <c r="AU59" i="388"/>
  <c r="S59" i="388"/>
  <c r="K59" i="388"/>
  <c r="L59" i="388" s="1"/>
  <c r="F59" i="388"/>
  <c r="AU58" i="388"/>
  <c r="S58" i="388"/>
  <c r="K58" i="388"/>
  <c r="L58" i="388" s="1"/>
  <c r="F58" i="388"/>
  <c r="AU57" i="388"/>
  <c r="S57" i="388"/>
  <c r="P57" i="388"/>
  <c r="M57" i="388" s="1"/>
  <c r="O57" i="388" s="1"/>
  <c r="L57" i="388"/>
  <c r="K57" i="388"/>
  <c r="F57" i="388"/>
  <c r="AU56" i="388"/>
  <c r="S56" i="388"/>
  <c r="N56" i="388"/>
  <c r="L56" i="388"/>
  <c r="P56" i="388" s="1"/>
  <c r="K56" i="388"/>
  <c r="F56" i="388"/>
  <c r="AU55" i="388"/>
  <c r="S55" i="388"/>
  <c r="N55" i="388"/>
  <c r="L55" i="388"/>
  <c r="P55" i="388" s="1"/>
  <c r="K55" i="388"/>
  <c r="D55" i="388"/>
  <c r="AU54" i="388"/>
  <c r="S54" i="388"/>
  <c r="N54" i="388"/>
  <c r="K54" i="388"/>
  <c r="L54" i="388" s="1"/>
  <c r="G54" i="388"/>
  <c r="F54" i="388"/>
  <c r="AU53" i="388"/>
  <c r="S53" i="388"/>
  <c r="N53" i="388"/>
  <c r="K53" i="388"/>
  <c r="L53" i="388" s="1"/>
  <c r="F53" i="388"/>
  <c r="AU52" i="388"/>
  <c r="S52" i="388"/>
  <c r="N52" i="388"/>
  <c r="K52" i="388"/>
  <c r="L52" i="388" s="1"/>
  <c r="P52" i="388" s="1"/>
  <c r="D52" i="388"/>
  <c r="AU51" i="388"/>
  <c r="S51" i="388"/>
  <c r="N51" i="388"/>
  <c r="L51" i="388"/>
  <c r="P51" i="388" s="1"/>
  <c r="K51" i="388"/>
  <c r="F51" i="388"/>
  <c r="D51" i="388"/>
  <c r="AU50" i="388"/>
  <c r="S50" i="388"/>
  <c r="L50" i="388"/>
  <c r="K50" i="388"/>
  <c r="F50" i="388"/>
  <c r="AU49" i="388"/>
  <c r="S49" i="388"/>
  <c r="N49" i="388"/>
  <c r="L49" i="388"/>
  <c r="K49" i="388"/>
  <c r="F49" i="388"/>
  <c r="AU48" i="388"/>
  <c r="S48" i="388"/>
  <c r="N48" i="388"/>
  <c r="L48" i="388"/>
  <c r="K48" i="388"/>
  <c r="F48" i="388"/>
  <c r="AU47" i="388"/>
  <c r="S47" i="388"/>
  <c r="K47" i="388"/>
  <c r="L47" i="388" s="1"/>
  <c r="F47" i="388"/>
  <c r="AU46" i="388"/>
  <c r="S46" i="388"/>
  <c r="N46" i="388"/>
  <c r="K46" i="388"/>
  <c r="L46" i="388" s="1"/>
  <c r="F46" i="388"/>
  <c r="AU45" i="388"/>
  <c r="S45" i="388"/>
  <c r="N45" i="388"/>
  <c r="K45" i="388"/>
  <c r="L45" i="388" s="1"/>
  <c r="F45" i="388"/>
  <c r="AU44" i="388"/>
  <c r="S44" i="388"/>
  <c r="N44" i="388"/>
  <c r="K44" i="388"/>
  <c r="L44" i="388" s="1"/>
  <c r="F44" i="388"/>
  <c r="AU43" i="388"/>
  <c r="S43" i="388"/>
  <c r="K43" i="388"/>
  <c r="L43" i="388" s="1"/>
  <c r="F43" i="388"/>
  <c r="AU42" i="388"/>
  <c r="S42" i="388"/>
  <c r="N42" i="388"/>
  <c r="K42" i="388"/>
  <c r="L42" i="388" s="1"/>
  <c r="F42" i="388"/>
  <c r="D42" i="388"/>
  <c r="AU41" i="388"/>
  <c r="S41" i="388"/>
  <c r="K41" i="388"/>
  <c r="L41" i="388" s="1"/>
  <c r="F41" i="388"/>
  <c r="AU40" i="388"/>
  <c r="S40" i="388"/>
  <c r="P40" i="388"/>
  <c r="M40" i="388" s="1"/>
  <c r="O40" i="388" s="1"/>
  <c r="L40" i="388"/>
  <c r="K40" i="388"/>
  <c r="F40" i="388"/>
  <c r="AU39" i="388"/>
  <c r="S39" i="388"/>
  <c r="N39" i="388"/>
  <c r="L39" i="388"/>
  <c r="P39" i="388" s="1"/>
  <c r="K39" i="388"/>
  <c r="F39" i="388"/>
  <c r="AU38" i="388"/>
  <c r="S38" i="388"/>
  <c r="N38" i="388"/>
  <c r="L38" i="388"/>
  <c r="P38" i="388" s="1"/>
  <c r="K38" i="388"/>
  <c r="F38" i="388"/>
  <c r="AU37" i="388"/>
  <c r="S37" i="388"/>
  <c r="K37" i="388"/>
  <c r="L37" i="388" s="1"/>
  <c r="F37" i="388"/>
  <c r="AU36" i="388"/>
  <c r="S36" i="388"/>
  <c r="P36" i="388"/>
  <c r="L36" i="388"/>
  <c r="K36" i="388"/>
  <c r="F36" i="388"/>
  <c r="AU35" i="388"/>
  <c r="S35" i="388"/>
  <c r="K35" i="388"/>
  <c r="L35" i="388" s="1"/>
  <c r="P35" i="388" s="1"/>
  <c r="F35" i="388"/>
  <c r="AU34" i="388"/>
  <c r="S34" i="388"/>
  <c r="K34" i="388"/>
  <c r="L34" i="388" s="1"/>
  <c r="F34" i="388"/>
  <c r="AU33" i="388"/>
  <c r="S33" i="388"/>
  <c r="N33" i="388"/>
  <c r="K33" i="388"/>
  <c r="L33" i="388" s="1"/>
  <c r="F33" i="388"/>
  <c r="AU32" i="388"/>
  <c r="S32" i="388"/>
  <c r="N32" i="388"/>
  <c r="K32" i="388"/>
  <c r="L32" i="388" s="1"/>
  <c r="F32" i="388"/>
  <c r="AU31" i="388"/>
  <c r="S31" i="388"/>
  <c r="K31" i="388"/>
  <c r="L31" i="388" s="1"/>
  <c r="G31" i="388"/>
  <c r="D31" i="388"/>
  <c r="F31" i="388" s="1"/>
  <c r="AU30" i="388"/>
  <c r="S30" i="388"/>
  <c r="K30" i="388"/>
  <c r="L30" i="388" s="1"/>
  <c r="F30" i="388"/>
  <c r="AU29" i="388"/>
  <c r="S29" i="388"/>
  <c r="N29" i="388"/>
  <c r="K29" i="388"/>
  <c r="L29" i="388" s="1"/>
  <c r="F29" i="388"/>
  <c r="AU28" i="388"/>
  <c r="S28" i="388"/>
  <c r="K28" i="388"/>
  <c r="L28" i="388" s="1"/>
  <c r="F28" i="388"/>
  <c r="AU27" i="388"/>
  <c r="S27" i="388"/>
  <c r="L27" i="388"/>
  <c r="K27" i="388"/>
  <c r="F27" i="388"/>
  <c r="AU26" i="388"/>
  <c r="S26" i="388"/>
  <c r="N26" i="388"/>
  <c r="L26" i="388"/>
  <c r="K26" i="388"/>
  <c r="F26" i="388"/>
  <c r="AU25" i="388"/>
  <c r="S25" i="388"/>
  <c r="K25" i="388"/>
  <c r="L25" i="388" s="1"/>
  <c r="P25" i="388" s="1"/>
  <c r="D25" i="388"/>
  <c r="AU24" i="388"/>
  <c r="S24" i="388"/>
  <c r="N24" i="388"/>
  <c r="L24" i="388"/>
  <c r="K24" i="388"/>
  <c r="F24" i="388"/>
  <c r="AU23" i="388"/>
  <c r="S23" i="388"/>
  <c r="L23" i="388"/>
  <c r="K23" i="388"/>
  <c r="F23" i="388"/>
  <c r="AU22" i="388"/>
  <c r="S22" i="388"/>
  <c r="N22" i="388"/>
  <c r="K22" i="388"/>
  <c r="L22" i="388" s="1"/>
  <c r="F22" i="388"/>
  <c r="AU21" i="388"/>
  <c r="S21" i="388"/>
  <c r="P21" i="388"/>
  <c r="K21" i="388"/>
  <c r="L21" i="388" s="1"/>
  <c r="F21" i="388"/>
  <c r="AU20" i="388"/>
  <c r="S20" i="388"/>
  <c r="N20" i="388"/>
  <c r="K20" i="388"/>
  <c r="L20" i="388" s="1"/>
  <c r="P20" i="388" s="1"/>
  <c r="F20" i="388"/>
  <c r="AU19" i="388"/>
  <c r="S19" i="388"/>
  <c r="N19" i="388"/>
  <c r="K19" i="388"/>
  <c r="L19" i="388" s="1"/>
  <c r="P19" i="388" s="1"/>
  <c r="F19" i="388"/>
  <c r="AU18" i="388"/>
  <c r="S18" i="388"/>
  <c r="N18" i="388"/>
  <c r="K18" i="388"/>
  <c r="L18" i="388" s="1"/>
  <c r="P18" i="388" s="1"/>
  <c r="F18" i="388"/>
  <c r="D18" i="388"/>
  <c r="AU17" i="388"/>
  <c r="S17" i="388"/>
  <c r="N17" i="388"/>
  <c r="K17" i="388"/>
  <c r="L17" i="388" s="1"/>
  <c r="P17" i="388" s="1"/>
  <c r="G17" i="388"/>
  <c r="D17" i="388"/>
  <c r="F17" i="388" s="1"/>
  <c r="AU16" i="388"/>
  <c r="S16" i="388"/>
  <c r="N16" i="388"/>
  <c r="K16" i="388"/>
  <c r="L16" i="388" s="1"/>
  <c r="P16" i="388" s="1"/>
  <c r="F16" i="388"/>
  <c r="D16" i="388"/>
  <c r="AU15" i="388"/>
  <c r="S15" i="388"/>
  <c r="N15" i="388"/>
  <c r="L15" i="388"/>
  <c r="K15" i="388"/>
  <c r="G15" i="388"/>
  <c r="F15" i="388"/>
  <c r="D15" i="388"/>
  <c r="AU14" i="388"/>
  <c r="S14" i="388"/>
  <c r="L14" i="388"/>
  <c r="K14" i="388"/>
  <c r="G14" i="388"/>
  <c r="P14" i="388" s="1"/>
  <c r="F14" i="388"/>
  <c r="AU13" i="388"/>
  <c r="S13" i="388"/>
  <c r="K13" i="388"/>
  <c r="L13" i="388" s="1"/>
  <c r="G13" i="388"/>
  <c r="F13" i="388"/>
  <c r="AU12" i="388"/>
  <c r="S12" i="388"/>
  <c r="L12" i="388"/>
  <c r="K12" i="388"/>
  <c r="F12" i="388"/>
  <c r="AU11" i="388"/>
  <c r="Q11" i="388"/>
  <c r="Q77" i="388" s="1"/>
  <c r="N11" i="388"/>
  <c r="K11" i="388"/>
  <c r="L11" i="388" s="1"/>
  <c r="P11" i="388" s="1"/>
  <c r="D11" i="388"/>
  <c r="F11" i="388" s="1"/>
  <c r="AU10" i="388"/>
  <c r="S10" i="388"/>
  <c r="N10" i="388"/>
  <c r="L10" i="388"/>
  <c r="K10" i="388"/>
  <c r="F10" i="388"/>
  <c r="AU9" i="388"/>
  <c r="S9" i="388"/>
  <c r="K9" i="388"/>
  <c r="L9" i="388" s="1"/>
  <c r="F9" i="388"/>
  <c r="AU8" i="388"/>
  <c r="S8" i="388"/>
  <c r="L8" i="388"/>
  <c r="P8" i="388" s="1"/>
  <c r="K8" i="388"/>
  <c r="F8" i="388"/>
  <c r="AU7" i="388"/>
  <c r="S7" i="388"/>
  <c r="L7" i="388"/>
  <c r="P7" i="388" s="1"/>
  <c r="K7" i="388"/>
  <c r="F7" i="388"/>
  <c r="AU6" i="388"/>
  <c r="S6" i="388"/>
  <c r="K6" i="388"/>
  <c r="L6" i="388" s="1"/>
  <c r="F6" i="388"/>
  <c r="D6" i="388"/>
  <c r="A6" i="388"/>
  <c r="A7" i="388" s="1"/>
  <c r="A8" i="388" s="1"/>
  <c r="A9" i="388" s="1"/>
  <c r="A10" i="388" s="1"/>
  <c r="A11" i="388" s="1"/>
  <c r="A12" i="388" s="1"/>
  <c r="A13" i="388" s="1"/>
  <c r="A14" i="388" s="1"/>
  <c r="A15" i="388" s="1"/>
  <c r="A16" i="388" s="1"/>
  <c r="A17" i="388" s="1"/>
  <c r="A18" i="388" s="1"/>
  <c r="A19" i="388" s="1"/>
  <c r="A20" i="388" s="1"/>
  <c r="A21" i="388" s="1"/>
  <c r="A22" i="388" s="1"/>
  <c r="A23" i="388" s="1"/>
  <c r="A24" i="388" s="1"/>
  <c r="A25" i="388" s="1"/>
  <c r="A26" i="388" s="1"/>
  <c r="A27" i="388" s="1"/>
  <c r="A28" i="388" s="1"/>
  <c r="A29" i="388" s="1"/>
  <c r="A30" i="388" s="1"/>
  <c r="A31" i="388" s="1"/>
  <c r="A32" i="388" s="1"/>
  <c r="A33" i="388" s="1"/>
  <c r="A34" i="388" s="1"/>
  <c r="A35" i="388" s="1"/>
  <c r="A36" i="388" s="1"/>
  <c r="A37" i="388" s="1"/>
  <c r="A38" i="388" s="1"/>
  <c r="A39" i="388" s="1"/>
  <c r="A40" i="388" s="1"/>
  <c r="A41" i="388" s="1"/>
  <c r="A42" i="388" s="1"/>
  <c r="A43" i="388" s="1"/>
  <c r="A44" i="388" s="1"/>
  <c r="A45" i="388" s="1"/>
  <c r="A46" i="388" s="1"/>
  <c r="A47" i="388" s="1"/>
  <c r="A48" i="388" s="1"/>
  <c r="A49" i="388" s="1"/>
  <c r="A50" i="388" s="1"/>
  <c r="A51" i="388" s="1"/>
  <c r="A52" i="388" s="1"/>
  <c r="A53" i="388" s="1"/>
  <c r="A54" i="388" s="1"/>
  <c r="A55" i="388" s="1"/>
  <c r="A56" i="388" s="1"/>
  <c r="A57" i="388" s="1"/>
  <c r="A58" i="388" s="1"/>
  <c r="A59" i="388" s="1"/>
  <c r="A60" i="388" s="1"/>
  <c r="A61" i="388" s="1"/>
  <c r="A62" i="388" s="1"/>
  <c r="A63" i="388" s="1"/>
  <c r="A64" i="388" s="1"/>
  <c r="A65" i="388" s="1"/>
  <c r="A66" i="388" s="1"/>
  <c r="A67" i="388" s="1"/>
  <c r="A68" i="388" s="1"/>
  <c r="A69" i="388" s="1"/>
  <c r="A70" i="388" s="1"/>
  <c r="A71" i="388" s="1"/>
  <c r="A72" i="388" s="1"/>
  <c r="A73" i="388" s="1"/>
  <c r="A74" i="388" s="1"/>
  <c r="A75" i="388" s="1"/>
  <c r="A76" i="388" s="1"/>
  <c r="A77" i="388" s="1"/>
  <c r="AU5" i="388"/>
  <c r="S5" i="388"/>
  <c r="K5" i="388"/>
  <c r="L5" i="388" s="1"/>
  <c r="F5" i="388"/>
  <c r="D5" i="388"/>
  <c r="Q15" i="387"/>
  <c r="P15" i="387"/>
  <c r="O15" i="387"/>
  <c r="N15" i="387"/>
  <c r="M15" i="387"/>
  <c r="L15" i="387"/>
  <c r="K15" i="387"/>
  <c r="J15" i="387"/>
  <c r="I15" i="387"/>
  <c r="H15" i="387"/>
  <c r="G15" i="387"/>
  <c r="F15" i="387"/>
  <c r="E15" i="387"/>
  <c r="D15" i="387"/>
  <c r="C15" i="387"/>
  <c r="B15" i="387"/>
  <c r="Q14" i="387"/>
  <c r="P14" i="387"/>
  <c r="O14" i="387"/>
  <c r="N14" i="387"/>
  <c r="M14" i="387"/>
  <c r="L14" i="387"/>
  <c r="K14" i="387"/>
  <c r="J14" i="387"/>
  <c r="I14" i="387"/>
  <c r="H14" i="387"/>
  <c r="G14" i="387"/>
  <c r="F14" i="387"/>
  <c r="E14" i="387"/>
  <c r="D14" i="387"/>
  <c r="C14" i="387"/>
  <c r="B14" i="387"/>
  <c r="Q13" i="387"/>
  <c r="P13" i="387"/>
  <c r="O13" i="387"/>
  <c r="N13" i="387"/>
  <c r="M13" i="387"/>
  <c r="L13" i="387"/>
  <c r="K13" i="387"/>
  <c r="J13" i="387"/>
  <c r="I13" i="387"/>
  <c r="H13" i="387"/>
  <c r="G13" i="387"/>
  <c r="F13" i="387"/>
  <c r="E13" i="387"/>
  <c r="D13" i="387"/>
  <c r="C13" i="387"/>
  <c r="B13" i="387"/>
  <c r="Q12" i="387"/>
  <c r="P12" i="387"/>
  <c r="O12" i="387"/>
  <c r="N12" i="387"/>
  <c r="M12" i="387"/>
  <c r="L12" i="387"/>
  <c r="K12" i="387"/>
  <c r="J12" i="387"/>
  <c r="I12" i="387"/>
  <c r="H12" i="387"/>
  <c r="G12" i="387"/>
  <c r="F12" i="387"/>
  <c r="E12" i="387"/>
  <c r="D12" i="387"/>
  <c r="C12" i="387"/>
  <c r="B12" i="387"/>
  <c r="Q11" i="387"/>
  <c r="P11" i="387"/>
  <c r="O11" i="387"/>
  <c r="N11" i="387"/>
  <c r="M11" i="387"/>
  <c r="L11" i="387"/>
  <c r="K11" i="387"/>
  <c r="J11" i="387"/>
  <c r="I11" i="387"/>
  <c r="H11" i="387"/>
  <c r="G11" i="387"/>
  <c r="F11" i="387"/>
  <c r="E11" i="387"/>
  <c r="D11" i="387"/>
  <c r="C11" i="387"/>
  <c r="B11" i="387"/>
  <c r="Q10" i="387"/>
  <c r="P10" i="387"/>
  <c r="O10" i="387"/>
  <c r="N10" i="387"/>
  <c r="M10" i="387"/>
  <c r="L10" i="387"/>
  <c r="K10" i="387"/>
  <c r="J10" i="387"/>
  <c r="I10" i="387"/>
  <c r="H10" i="387"/>
  <c r="G10" i="387"/>
  <c r="F10" i="387"/>
  <c r="E10" i="387"/>
  <c r="D10" i="387"/>
  <c r="C10" i="387"/>
  <c r="B10" i="387"/>
  <c r="Q9" i="387"/>
  <c r="P9" i="387"/>
  <c r="O9" i="387"/>
  <c r="N9" i="387"/>
  <c r="M9" i="387"/>
  <c r="L9" i="387"/>
  <c r="K9" i="387"/>
  <c r="J9" i="387"/>
  <c r="I9" i="387"/>
  <c r="H9" i="387"/>
  <c r="G9" i="387"/>
  <c r="F9" i="387"/>
  <c r="E9" i="387"/>
  <c r="D9" i="387"/>
  <c r="C9" i="387"/>
  <c r="B9" i="387"/>
  <c r="Q8" i="387"/>
  <c r="P8" i="387"/>
  <c r="O8" i="387"/>
  <c r="N8" i="387"/>
  <c r="M8" i="387"/>
  <c r="L8" i="387"/>
  <c r="K8" i="387"/>
  <c r="J8" i="387"/>
  <c r="I8" i="387"/>
  <c r="H8" i="387"/>
  <c r="G8" i="387"/>
  <c r="F8" i="387"/>
  <c r="E8" i="387"/>
  <c r="D8" i="387"/>
  <c r="C8" i="387"/>
  <c r="B8" i="387"/>
  <c r="Q7" i="387"/>
  <c r="Q16" i="387" s="1"/>
  <c r="P7" i="387"/>
  <c r="P16" i="387" s="1"/>
  <c r="O7" i="387"/>
  <c r="N7" i="387"/>
  <c r="N16" i="387" s="1"/>
  <c r="M7" i="387"/>
  <c r="M16" i="387" s="1"/>
  <c r="L7" i="387"/>
  <c r="L16" i="387" s="1"/>
  <c r="K7" i="387"/>
  <c r="J7" i="387"/>
  <c r="J16" i="387" s="1"/>
  <c r="I7" i="387"/>
  <c r="I16" i="387" s="1"/>
  <c r="H7" i="387"/>
  <c r="H16" i="387" s="1"/>
  <c r="G7" i="387"/>
  <c r="F7" i="387"/>
  <c r="F16" i="387" s="1"/>
  <c r="E7" i="387"/>
  <c r="E16" i="387" s="1"/>
  <c r="D7" i="387"/>
  <c r="D16" i="387" s="1"/>
  <c r="C7" i="387"/>
  <c r="B7" i="387"/>
  <c r="B16" i="387" s="1"/>
  <c r="A20" i="385"/>
  <c r="A21" i="385" s="1"/>
  <c r="A22" i="385" s="1"/>
  <c r="A23" i="385" s="1"/>
  <c r="A24" i="385" s="1"/>
  <c r="A25" i="385" s="1"/>
  <c r="A26" i="385" s="1"/>
  <c r="A27" i="385" s="1"/>
  <c r="A28" i="385" s="1"/>
  <c r="A30" i="385" s="1"/>
  <c r="A7" i="385"/>
  <c r="A8" i="385" s="1"/>
  <c r="A9" i="385" s="1"/>
  <c r="A10" i="385" s="1"/>
  <c r="A11" i="385" s="1"/>
  <c r="A12" i="385" s="1"/>
  <c r="A13" i="385" s="1"/>
  <c r="A14" i="385" s="1"/>
  <c r="A15" i="385" s="1"/>
  <c r="A6" i="385"/>
  <c r="AA17" i="383"/>
  <c r="Z17" i="383"/>
  <c r="Y17" i="383"/>
  <c r="X17" i="383"/>
  <c r="W17" i="383"/>
  <c r="A7" i="383"/>
  <c r="A8" i="383" s="1"/>
  <c r="A9" i="383" s="1"/>
  <c r="A10" i="383" s="1"/>
  <c r="A11" i="383" s="1"/>
  <c r="A12" i="383" s="1"/>
  <c r="A13" i="383" s="1"/>
  <c r="A14" i="383" s="1"/>
  <c r="A15" i="383" s="1"/>
  <c r="A16" i="383" s="1"/>
  <c r="A17" i="383" s="1"/>
  <c r="A6" i="383"/>
  <c r="A7" i="381"/>
  <c r="A8" i="381" s="1"/>
  <c r="A9" i="381" s="1"/>
  <c r="A10" i="381" s="1"/>
  <c r="A11" i="381" s="1"/>
  <c r="A12" i="381" s="1"/>
  <c r="A13" i="381" s="1"/>
  <c r="A14" i="381" s="1"/>
  <c r="A15" i="381" s="1"/>
  <c r="A16" i="381" s="1"/>
  <c r="A17" i="381" s="1"/>
  <c r="A6" i="381"/>
  <c r="E15" i="380"/>
  <c r="A6" i="379"/>
  <c r="A7" i="379" s="1"/>
  <c r="P8" i="379"/>
  <c r="AA15" i="377"/>
  <c r="Z15" i="377"/>
  <c r="Y15" i="377"/>
  <c r="X15" i="377"/>
  <c r="A6" i="377"/>
  <c r="A7" i="377" s="1"/>
  <c r="A8" i="377" s="1"/>
  <c r="A9" i="377" s="1"/>
  <c r="A10" i="377" s="1"/>
  <c r="A11" i="377" s="1"/>
  <c r="A12" i="377" s="1"/>
  <c r="A13" i="377" s="1"/>
  <c r="A14" i="377" s="1"/>
  <c r="A15" i="377" s="1"/>
  <c r="E12" i="376"/>
  <c r="A6" i="375"/>
  <c r="A7" i="375" s="1"/>
  <c r="A8" i="375" s="1"/>
  <c r="A9" i="375" s="1"/>
  <c r="A10" i="375" s="1"/>
  <c r="A11" i="375" s="1"/>
  <c r="A12" i="375" s="1"/>
  <c r="A13" i="375" s="1"/>
  <c r="A14" i="375" s="1"/>
  <c r="A15" i="375" s="1"/>
  <c r="A16" i="375" s="1"/>
  <c r="A17" i="375" s="1"/>
  <c r="A18" i="375" s="1"/>
  <c r="A19" i="375" s="1"/>
  <c r="A20" i="375" s="1"/>
  <c r="A21" i="375" s="1"/>
  <c r="A22" i="375" s="1"/>
  <c r="A23" i="375" s="1"/>
  <c r="AC109" i="373"/>
  <c r="AC108" i="373"/>
  <c r="AC107" i="373"/>
  <c r="AC106" i="373"/>
  <c r="AC105" i="373"/>
  <c r="AC104" i="373"/>
  <c r="AC103" i="373"/>
  <c r="AC102" i="373"/>
  <c r="AC101" i="373"/>
  <c r="AC100" i="373"/>
  <c r="AC99" i="373"/>
  <c r="AC98" i="373"/>
  <c r="AC97" i="373"/>
  <c r="AC96" i="373"/>
  <c r="AC95" i="373"/>
  <c r="AC94" i="373"/>
  <c r="AC93" i="373"/>
  <c r="AC92" i="373"/>
  <c r="AC91" i="373"/>
  <c r="AC90" i="373"/>
  <c r="AC89" i="373"/>
  <c r="AC88" i="373"/>
  <c r="AC87" i="373"/>
  <c r="AC86" i="373"/>
  <c r="AC85" i="373"/>
  <c r="AC84" i="373"/>
  <c r="AC83" i="373"/>
  <c r="AC82" i="373"/>
  <c r="AC81" i="373"/>
  <c r="AC80" i="373"/>
  <c r="AC79" i="373"/>
  <c r="AC78" i="373"/>
  <c r="AC77" i="373"/>
  <c r="AC76" i="373"/>
  <c r="AC75" i="373"/>
  <c r="AC74" i="373"/>
  <c r="AC73" i="373"/>
  <c r="AC72" i="373"/>
  <c r="AC71" i="373"/>
  <c r="AC70" i="373"/>
  <c r="AC69" i="373"/>
  <c r="AC68" i="373"/>
  <c r="AC67" i="373"/>
  <c r="AC66" i="373"/>
  <c r="AC65" i="373"/>
  <c r="AC64" i="373"/>
  <c r="AC63" i="373"/>
  <c r="AC62" i="373"/>
  <c r="AC61" i="373"/>
  <c r="AC60" i="373"/>
  <c r="AC59" i="373"/>
  <c r="AC58" i="373"/>
  <c r="AC57" i="373"/>
  <c r="AC56" i="373"/>
  <c r="AC55" i="373"/>
  <c r="AC54" i="373"/>
  <c r="AC53" i="373"/>
  <c r="AC52" i="373"/>
  <c r="AC51" i="373"/>
  <c r="AC50" i="373"/>
  <c r="AC49" i="373"/>
  <c r="AC48" i="373"/>
  <c r="AC47" i="373"/>
  <c r="AC46" i="373"/>
  <c r="AC45" i="373"/>
  <c r="AC44" i="373"/>
  <c r="AC43" i="373"/>
  <c r="AC42" i="373"/>
  <c r="AC41" i="373"/>
  <c r="AC40" i="373"/>
  <c r="AC39" i="373"/>
  <c r="AC38" i="373"/>
  <c r="AC37" i="373"/>
  <c r="AC36" i="373"/>
  <c r="AC35" i="373"/>
  <c r="AC34" i="373"/>
  <c r="AC33" i="373"/>
  <c r="AC32" i="373"/>
  <c r="AC31" i="373"/>
  <c r="AC30" i="373"/>
  <c r="AC29" i="373"/>
  <c r="AC28" i="373"/>
  <c r="AC27" i="373"/>
  <c r="AC26" i="373"/>
  <c r="AC25" i="373"/>
  <c r="AC24" i="373"/>
  <c r="AC23" i="373"/>
  <c r="AC22" i="373"/>
  <c r="AC21" i="373"/>
  <c r="AC20" i="373"/>
  <c r="AC19" i="373"/>
  <c r="AC18" i="373"/>
  <c r="AC17" i="373"/>
  <c r="AC16" i="373"/>
  <c r="AC15" i="373"/>
  <c r="AC14" i="373"/>
  <c r="AC13" i="373"/>
  <c r="AC12" i="373"/>
  <c r="AC11" i="373"/>
  <c r="AC10" i="373"/>
  <c r="AC9" i="373"/>
  <c r="AC8" i="373"/>
  <c r="AC7" i="373"/>
  <c r="AC6" i="373"/>
  <c r="A6" i="373"/>
  <c r="A7" i="373" s="1"/>
  <c r="A8" i="373" s="1"/>
  <c r="A9" i="373" s="1"/>
  <c r="A10" i="373" s="1"/>
  <c r="A11" i="373" s="1"/>
  <c r="A12" i="373" s="1"/>
  <c r="A13" i="373" s="1"/>
  <c r="A14" i="373" s="1"/>
  <c r="A15" i="373" s="1"/>
  <c r="A16" i="373" s="1"/>
  <c r="A17" i="373" s="1"/>
  <c r="A18" i="373" s="1"/>
  <c r="A19" i="373" s="1"/>
  <c r="A20" i="373" s="1"/>
  <c r="A21" i="373" s="1"/>
  <c r="A22" i="373" s="1"/>
  <c r="A23" i="373" s="1"/>
  <c r="A24" i="373" s="1"/>
  <c r="A25" i="373" s="1"/>
  <c r="A26" i="373" s="1"/>
  <c r="A27" i="373" s="1"/>
  <c r="A28" i="373" s="1"/>
  <c r="A29" i="373" s="1"/>
  <c r="A30" i="373" s="1"/>
  <c r="A31" i="373" s="1"/>
  <c r="A32" i="373" s="1"/>
  <c r="A33" i="373" s="1"/>
  <c r="A34" i="373" s="1"/>
  <c r="A35" i="373" s="1"/>
  <c r="A36" i="373" s="1"/>
  <c r="A37" i="373" s="1"/>
  <c r="A38" i="373" s="1"/>
  <c r="A39" i="373" s="1"/>
  <c r="A40" i="373" s="1"/>
  <c r="A41" i="373" s="1"/>
  <c r="A42" i="373" s="1"/>
  <c r="A43" i="373" s="1"/>
  <c r="A44" i="373" s="1"/>
  <c r="A45" i="373" s="1"/>
  <c r="A46" i="373" s="1"/>
  <c r="A47" i="373" s="1"/>
  <c r="A48" i="373" s="1"/>
  <c r="A49" i="373" s="1"/>
  <c r="A50" i="373" s="1"/>
  <c r="A51" i="373" s="1"/>
  <c r="A52" i="373" s="1"/>
  <c r="A53" i="373" s="1"/>
  <c r="A54" i="373" s="1"/>
  <c r="A55" i="373" s="1"/>
  <c r="A56" i="373" s="1"/>
  <c r="A57" i="373" s="1"/>
  <c r="A58" i="373" s="1"/>
  <c r="A59" i="373" s="1"/>
  <c r="A60" i="373" s="1"/>
  <c r="A61" i="373" s="1"/>
  <c r="A62" i="373" s="1"/>
  <c r="A63" i="373" s="1"/>
  <c r="A64" i="373" s="1"/>
  <c r="A65" i="373" s="1"/>
  <c r="A66" i="373" s="1"/>
  <c r="A67" i="373" s="1"/>
  <c r="A68" i="373" s="1"/>
  <c r="A69" i="373" s="1"/>
  <c r="A70" i="373" s="1"/>
  <c r="A71" i="373" s="1"/>
  <c r="A72" i="373" s="1"/>
  <c r="A73" i="373" s="1"/>
  <c r="A74" i="373" s="1"/>
  <c r="A75" i="373" s="1"/>
  <c r="A76" i="373" s="1"/>
  <c r="A77" i="373" s="1"/>
  <c r="A78" i="373" s="1"/>
  <c r="A79" i="373" s="1"/>
  <c r="A80" i="373" s="1"/>
  <c r="A81" i="373" s="1"/>
  <c r="A82" i="373" s="1"/>
  <c r="A83" i="373" s="1"/>
  <c r="A84" i="373" s="1"/>
  <c r="A85" i="373" s="1"/>
  <c r="A86" i="373" s="1"/>
  <c r="A87" i="373" s="1"/>
  <c r="A88" i="373" s="1"/>
  <c r="A89" i="373" s="1"/>
  <c r="A90" i="373" s="1"/>
  <c r="A91" i="373" s="1"/>
  <c r="A92" i="373" s="1"/>
  <c r="A93" i="373" s="1"/>
  <c r="A94" i="373" s="1"/>
  <c r="A95" i="373" s="1"/>
  <c r="A96" i="373" s="1"/>
  <c r="A97" i="373" s="1"/>
  <c r="A98" i="373" s="1"/>
  <c r="A99" i="373" s="1"/>
  <c r="A100" i="373" s="1"/>
  <c r="A101" i="373" s="1"/>
  <c r="A102" i="373" s="1"/>
  <c r="A103" i="373" s="1"/>
  <c r="A104" i="373" s="1"/>
  <c r="A105" i="373" s="1"/>
  <c r="A106" i="373" s="1"/>
  <c r="A107" i="373" s="1"/>
  <c r="A108" i="373" s="1"/>
  <c r="A109" i="373" s="1"/>
  <c r="A110" i="373" s="1"/>
  <c r="AC5" i="373"/>
  <c r="A6" i="372"/>
  <c r="A7" i="372" s="1"/>
  <c r="A8" i="372" s="1"/>
  <c r="A9" i="372" s="1"/>
  <c r="A10" i="372" s="1"/>
  <c r="A11" i="372" s="1"/>
  <c r="A12" i="372" s="1"/>
  <c r="A13" i="372" s="1"/>
  <c r="A14" i="372" s="1"/>
  <c r="A15" i="372" s="1"/>
  <c r="A16" i="372" s="1"/>
  <c r="A17" i="372" s="1"/>
  <c r="A18" i="372" s="1"/>
  <c r="A19" i="372" s="1"/>
  <c r="A20" i="372" s="1"/>
  <c r="A21" i="372" s="1"/>
  <c r="A22" i="372" s="1"/>
  <c r="A23" i="372" s="1"/>
  <c r="A24" i="372" s="1"/>
  <c r="A25" i="372" s="1"/>
  <c r="A26" i="372" s="1"/>
  <c r="A27" i="372" s="1"/>
  <c r="A28" i="372" s="1"/>
  <c r="A29" i="372" s="1"/>
  <c r="A30" i="372" s="1"/>
  <c r="A31" i="372" s="1"/>
  <c r="A32" i="372" s="1"/>
  <c r="A33" i="372" s="1"/>
  <c r="A34" i="372" s="1"/>
  <c r="A35" i="372" s="1"/>
  <c r="A36" i="372" s="1"/>
  <c r="A37" i="372" s="1"/>
  <c r="A38" i="372" s="1"/>
  <c r="A39" i="372" s="1"/>
  <c r="A40" i="372" s="1"/>
  <c r="A41" i="372" s="1"/>
  <c r="A42" i="372" s="1"/>
  <c r="A43" i="372" s="1"/>
  <c r="A44" i="372" s="1"/>
  <c r="A45" i="372" s="1"/>
  <c r="A46" i="372" s="1"/>
  <c r="A47" i="372" s="1"/>
  <c r="A48" i="372" s="1"/>
  <c r="A49" i="372" s="1"/>
  <c r="A50" i="372" s="1"/>
  <c r="A51" i="372" s="1"/>
  <c r="A52" i="372" s="1"/>
  <c r="A53" i="372" s="1"/>
  <c r="A54" i="372" s="1"/>
  <c r="A55" i="372" s="1"/>
  <c r="A56" i="372" s="1"/>
  <c r="A57" i="372" s="1"/>
  <c r="A58" i="372" s="1"/>
  <c r="A59" i="372" s="1"/>
  <c r="A60" i="372" s="1"/>
  <c r="A61" i="372" s="1"/>
  <c r="A62" i="372" s="1"/>
  <c r="A63" i="372" s="1"/>
  <c r="A64" i="372" s="1"/>
  <c r="A65" i="372" s="1"/>
  <c r="A66" i="372" s="1"/>
  <c r="A67" i="372" s="1"/>
  <c r="A68" i="372" s="1"/>
  <c r="A69" i="372" s="1"/>
  <c r="A70" i="372" s="1"/>
  <c r="A71" i="372" s="1"/>
  <c r="A72" i="372" s="1"/>
  <c r="A73" i="372" s="1"/>
  <c r="A74" i="372" s="1"/>
  <c r="A75" i="372" s="1"/>
  <c r="A76" i="372" s="1"/>
  <c r="A77" i="372" s="1"/>
  <c r="A78" i="372" s="1"/>
  <c r="A79" i="372" s="1"/>
  <c r="A80" i="372" s="1"/>
  <c r="A81" i="372" s="1"/>
  <c r="A82" i="372" s="1"/>
  <c r="A83" i="372" s="1"/>
  <c r="A84" i="372" s="1"/>
  <c r="A85" i="372" s="1"/>
  <c r="A86" i="372" s="1"/>
  <c r="A87" i="372" s="1"/>
  <c r="A88" i="372" s="1"/>
  <c r="A89" i="372" s="1"/>
  <c r="A90" i="372" s="1"/>
  <c r="A91" i="372" s="1"/>
  <c r="A92" i="372" s="1"/>
  <c r="A93" i="372" s="1"/>
  <c r="A94" i="372" s="1"/>
  <c r="A95" i="372" s="1"/>
  <c r="A96" i="372" s="1"/>
  <c r="A97" i="372" s="1"/>
  <c r="A98" i="372" s="1"/>
  <c r="A99" i="372" s="1"/>
  <c r="A100" i="372" s="1"/>
  <c r="A101" i="372" s="1"/>
  <c r="A102" i="372" s="1"/>
  <c r="A103" i="372" s="1"/>
  <c r="A104" i="372" s="1"/>
  <c r="A105" i="372" s="1"/>
  <c r="A106" i="372" s="1"/>
  <c r="A107" i="372" s="1"/>
  <c r="A108" i="372" s="1"/>
  <c r="A109" i="372" s="1"/>
  <c r="A110" i="372" s="1"/>
  <c r="A6" i="369"/>
  <c r="A7" i="369" s="1"/>
  <c r="A8" i="369" s="1"/>
  <c r="A9" i="369" s="1"/>
  <c r="A10" i="369" s="1"/>
  <c r="A11" i="369" s="1"/>
  <c r="A12" i="369" s="1"/>
  <c r="A13" i="369" s="1"/>
  <c r="A14" i="369" s="1"/>
  <c r="A15" i="369" s="1"/>
  <c r="A16" i="369" s="1"/>
  <c r="A17" i="369" s="1"/>
  <c r="A18" i="369" s="1"/>
  <c r="A19" i="369" s="1"/>
  <c r="A20" i="369" s="1"/>
  <c r="A21" i="369" s="1"/>
  <c r="A22" i="369" s="1"/>
  <c r="A23" i="369" s="1"/>
  <c r="A24" i="369" s="1"/>
  <c r="A25" i="369" s="1"/>
  <c r="A26" i="369" s="1"/>
  <c r="A27" i="369" s="1"/>
  <c r="A28" i="369" s="1"/>
  <c r="A29" i="369" s="1"/>
  <c r="A30" i="369" s="1"/>
  <c r="A31" i="369" s="1"/>
  <c r="A32" i="369" s="1"/>
  <c r="A33" i="369" s="1"/>
  <c r="A34" i="369" s="1"/>
  <c r="A35" i="369" s="1"/>
  <c r="A36" i="369" s="1"/>
  <c r="A37" i="369" s="1"/>
  <c r="A38" i="369" s="1"/>
  <c r="A39" i="369" s="1"/>
  <c r="A40" i="369" s="1"/>
  <c r="A41" i="369" s="1"/>
  <c r="A42" i="369" s="1"/>
  <c r="A43" i="369" s="1"/>
  <c r="A44" i="369" s="1"/>
  <c r="A45" i="369" s="1"/>
  <c r="A46" i="369" s="1"/>
  <c r="A47" i="369" s="1"/>
  <c r="A48" i="369" s="1"/>
  <c r="A49" i="369" s="1"/>
  <c r="A50" i="369" s="1"/>
  <c r="A51" i="369" s="1"/>
  <c r="A52" i="369" s="1"/>
  <c r="A53" i="369" s="1"/>
  <c r="A54" i="369" s="1"/>
  <c r="A55" i="369" s="1"/>
  <c r="A56" i="369" s="1"/>
  <c r="A57" i="369" s="1"/>
  <c r="A58" i="369" s="1"/>
  <c r="A59" i="369" s="1"/>
  <c r="A60" i="369" s="1"/>
  <c r="A61" i="369" s="1"/>
  <c r="A62" i="369" s="1"/>
  <c r="A63" i="369" s="1"/>
  <c r="A64" i="369" s="1"/>
  <c r="A65" i="369" s="1"/>
  <c r="A66" i="369" s="1"/>
  <c r="A67" i="369" s="1"/>
  <c r="A68" i="369" s="1"/>
  <c r="A69" i="369" s="1"/>
  <c r="A70" i="369" s="1"/>
  <c r="A71" i="369" s="1"/>
  <c r="A72" i="369" s="1"/>
  <c r="A73" i="369" s="1"/>
  <c r="A74" i="369" s="1"/>
  <c r="A75" i="369" s="1"/>
  <c r="A76" i="369" s="1"/>
  <c r="A77" i="369" s="1"/>
  <c r="A78" i="369" s="1"/>
  <c r="A79" i="369" s="1"/>
  <c r="A80" i="369" s="1"/>
  <c r="A81" i="369" s="1"/>
  <c r="A82" i="369" s="1"/>
  <c r="A83" i="369" s="1"/>
  <c r="A84" i="369" s="1"/>
  <c r="A85" i="369" s="1"/>
  <c r="A86" i="369" s="1"/>
  <c r="A87" i="369" s="1"/>
  <c r="A88" i="369" s="1"/>
  <c r="A89" i="369" s="1"/>
  <c r="A90" i="369" s="1"/>
  <c r="A91" i="369" s="1"/>
  <c r="A92" i="369" s="1"/>
  <c r="A93" i="369" s="1"/>
  <c r="A94" i="369" s="1"/>
  <c r="A95" i="369" s="1"/>
  <c r="A96" i="369" s="1"/>
  <c r="A97" i="369" s="1"/>
  <c r="A98" i="369" s="1"/>
  <c r="A99" i="369" s="1"/>
  <c r="A100" i="369" s="1"/>
  <c r="A101" i="369" s="1"/>
  <c r="A102" i="369" s="1"/>
  <c r="A103" i="369" s="1"/>
  <c r="A104" i="369" s="1"/>
  <c r="A105" i="369" s="1"/>
  <c r="A109" i="369" s="1"/>
  <c r="A110" i="369" s="1"/>
  <c r="A111" i="369" s="1"/>
  <c r="A112" i="369" s="1"/>
  <c r="A113" i="369" s="1"/>
  <c r="A114" i="369" s="1"/>
  <c r="A115" i="369" s="1"/>
  <c r="A116" i="369" s="1"/>
  <c r="A117" i="369" s="1"/>
  <c r="A118" i="369" s="1"/>
  <c r="A119" i="369" s="1"/>
  <c r="A120" i="369" s="1"/>
  <c r="A121" i="369" s="1"/>
  <c r="A122" i="369" s="1"/>
  <c r="A123" i="369" s="1"/>
  <c r="AB106" i="368"/>
  <c r="A6" i="368"/>
  <c r="A7" i="368" s="1"/>
  <c r="A8" i="368" s="1"/>
  <c r="A9" i="368" s="1"/>
  <c r="A10" i="368" s="1"/>
  <c r="A11" i="368" s="1"/>
  <c r="A12" i="368" s="1"/>
  <c r="A13" i="368" s="1"/>
  <c r="A14" i="368" s="1"/>
  <c r="A15" i="368" s="1"/>
  <c r="A16" i="368" s="1"/>
  <c r="A17" i="368" s="1"/>
  <c r="A18" i="368" s="1"/>
  <c r="A19" i="368" s="1"/>
  <c r="A20" i="368" s="1"/>
  <c r="A21" i="368" s="1"/>
  <c r="A22" i="368" s="1"/>
  <c r="A23" i="368" s="1"/>
  <c r="A24" i="368" s="1"/>
  <c r="A25" i="368" s="1"/>
  <c r="A26" i="368" s="1"/>
  <c r="A27" i="368" s="1"/>
  <c r="A28" i="368" s="1"/>
  <c r="A29" i="368" s="1"/>
  <c r="A30" i="368" s="1"/>
  <c r="A31" i="368" s="1"/>
  <c r="A32" i="368" s="1"/>
  <c r="A33" i="368" s="1"/>
  <c r="A34" i="368" s="1"/>
  <c r="A35" i="368" s="1"/>
  <c r="A36" i="368" s="1"/>
  <c r="A37" i="368" s="1"/>
  <c r="A38" i="368" s="1"/>
  <c r="A39" i="368" s="1"/>
  <c r="A40" i="368" s="1"/>
  <c r="A41" i="368" s="1"/>
  <c r="A42" i="368" s="1"/>
  <c r="A43" i="368" s="1"/>
  <c r="A44" i="368" s="1"/>
  <c r="A45" i="368" s="1"/>
  <c r="A46" i="368" s="1"/>
  <c r="A47" i="368" s="1"/>
  <c r="A48" i="368" s="1"/>
  <c r="A49" i="368" s="1"/>
  <c r="A50" i="368" s="1"/>
  <c r="A51" i="368" s="1"/>
  <c r="A52" i="368" s="1"/>
  <c r="A53" i="368" s="1"/>
  <c r="A54" i="368" s="1"/>
  <c r="A55" i="368" s="1"/>
  <c r="A56" i="368" s="1"/>
  <c r="A57" i="368" s="1"/>
  <c r="A58" i="368" s="1"/>
  <c r="A59" i="368" s="1"/>
  <c r="A60" i="368" s="1"/>
  <c r="A61" i="368" s="1"/>
  <c r="A62" i="368" s="1"/>
  <c r="A63" i="368" s="1"/>
  <c r="A64" i="368" s="1"/>
  <c r="A65" i="368" s="1"/>
  <c r="A66" i="368" s="1"/>
  <c r="A67" i="368" s="1"/>
  <c r="A68" i="368" s="1"/>
  <c r="A69" i="368" s="1"/>
  <c r="A70" i="368" s="1"/>
  <c r="A71" i="368" s="1"/>
  <c r="A72" i="368" s="1"/>
  <c r="A73" i="368" s="1"/>
  <c r="A74" i="368" s="1"/>
  <c r="A75" i="368" s="1"/>
  <c r="A76" i="368" s="1"/>
  <c r="A77" i="368" s="1"/>
  <c r="A78" i="368" s="1"/>
  <c r="A79" i="368" s="1"/>
  <c r="A80" i="368" s="1"/>
  <c r="A81" i="368" s="1"/>
  <c r="A82" i="368" s="1"/>
  <c r="A83" i="368" s="1"/>
  <c r="A84" i="368" s="1"/>
  <c r="A85" i="368" s="1"/>
  <c r="A86" i="368" s="1"/>
  <c r="A87" i="368" s="1"/>
  <c r="A88" i="368" s="1"/>
  <c r="A89" i="368" s="1"/>
  <c r="A90" i="368" s="1"/>
  <c r="A91" i="368" s="1"/>
  <c r="A92" i="368" s="1"/>
  <c r="A93" i="368" s="1"/>
  <c r="A94" i="368" s="1"/>
  <c r="A95" i="368" s="1"/>
  <c r="A96" i="368" s="1"/>
  <c r="A97" i="368" s="1"/>
  <c r="A98" i="368" s="1"/>
  <c r="A99" i="368" s="1"/>
  <c r="A100" i="368" s="1"/>
  <c r="A101" i="368" s="1"/>
  <c r="A102" i="368" s="1"/>
  <c r="A103" i="368" s="1"/>
  <c r="A104" i="368" s="1"/>
  <c r="A105" i="368" s="1"/>
  <c r="A109" i="368" s="1"/>
  <c r="A110" i="368" s="1"/>
  <c r="A111" i="368" s="1"/>
  <c r="A112" i="368" s="1"/>
  <c r="A113" i="368" s="1"/>
  <c r="A114" i="368" s="1"/>
  <c r="A115" i="368" s="1"/>
  <c r="A116" i="368" s="1"/>
  <c r="A117" i="368" s="1"/>
  <c r="A118" i="368" s="1"/>
  <c r="A119" i="368" s="1"/>
  <c r="A120" i="368" s="1"/>
  <c r="A121" i="368" s="1"/>
  <c r="A122" i="368" s="1"/>
  <c r="A123" i="368" s="1"/>
  <c r="A7" i="365"/>
  <c r="A8" i="365" s="1"/>
  <c r="A9" i="365" s="1"/>
  <c r="A10" i="365" s="1"/>
  <c r="A11" i="365" s="1"/>
  <c r="A12" i="365" s="1"/>
  <c r="A13" i="365" s="1"/>
  <c r="A14" i="365" s="1"/>
  <c r="A15" i="365" s="1"/>
  <c r="A16" i="365" s="1"/>
  <c r="A17" i="365" s="1"/>
  <c r="A18" i="365" s="1"/>
  <c r="A19" i="365" s="1"/>
  <c r="A20" i="365" s="1"/>
  <c r="A21" i="365" s="1"/>
  <c r="A22" i="365" s="1"/>
  <c r="A23" i="365" s="1"/>
  <c r="A24" i="365" s="1"/>
  <c r="A25" i="365" s="1"/>
  <c r="A26" i="365" s="1"/>
  <c r="A27" i="365" s="1"/>
  <c r="A28" i="365" s="1"/>
  <c r="A29" i="365" s="1"/>
  <c r="A30" i="365" s="1"/>
  <c r="A31" i="365" s="1"/>
  <c r="A32" i="365" s="1"/>
  <c r="A33" i="365" s="1"/>
  <c r="A34" i="365" s="1"/>
  <c r="A35" i="365" s="1"/>
  <c r="A36" i="365" s="1"/>
  <c r="A37" i="365" s="1"/>
  <c r="A38" i="365" s="1"/>
  <c r="A39" i="365" s="1"/>
  <c r="A40" i="365" s="1"/>
  <c r="A41" i="365" s="1"/>
  <c r="A42" i="365" s="1"/>
  <c r="A43" i="365" s="1"/>
  <c r="A44" i="365" s="1"/>
  <c r="A45" i="365" s="1"/>
  <c r="A46" i="365" s="1"/>
  <c r="A47" i="365" s="1"/>
  <c r="A48" i="365" s="1"/>
  <c r="A49" i="365" s="1"/>
  <c r="A50" i="365" s="1"/>
  <c r="A51" i="365" s="1"/>
  <c r="A52" i="365" s="1"/>
  <c r="A53" i="365" s="1"/>
  <c r="A54" i="365" s="1"/>
  <c r="A55" i="365" s="1"/>
  <c r="A56" i="365" s="1"/>
  <c r="A57" i="365" s="1"/>
  <c r="A58" i="365" s="1"/>
  <c r="A59" i="365" s="1"/>
  <c r="A60" i="365" s="1"/>
  <c r="A61" i="365" s="1"/>
  <c r="A62" i="365" s="1"/>
  <c r="A63" i="365" s="1"/>
  <c r="A64" i="365" s="1"/>
  <c r="A65" i="365" s="1"/>
  <c r="A66" i="365" s="1"/>
  <c r="A67" i="365" s="1"/>
  <c r="A68" i="365" s="1"/>
  <c r="A69" i="365" s="1"/>
  <c r="A70" i="365" s="1"/>
  <c r="A71" i="365" s="1"/>
  <c r="A72" i="365" s="1"/>
  <c r="A73" i="365" s="1"/>
  <c r="A6" i="365"/>
  <c r="Y28" i="359"/>
  <c r="Y29" i="359" s="1"/>
  <c r="X28" i="359"/>
  <c r="X29" i="359" s="1"/>
  <c r="W28" i="359"/>
  <c r="W29" i="359" s="1"/>
  <c r="V28" i="359"/>
  <c r="V29" i="359" s="1"/>
  <c r="U28" i="359"/>
  <c r="T28" i="359"/>
  <c r="T29" i="359" s="1"/>
  <c r="S28" i="359"/>
  <c r="S29" i="359" s="1"/>
  <c r="R28" i="359"/>
  <c r="R29" i="359" s="1"/>
  <c r="Q28" i="359"/>
  <c r="Q29" i="359" s="1"/>
  <c r="P28" i="359"/>
  <c r="P29" i="359" s="1"/>
  <c r="O28" i="359"/>
  <c r="O29" i="359" s="1"/>
  <c r="N28" i="359"/>
  <c r="N29" i="359" s="1"/>
  <c r="M28" i="359"/>
  <c r="M29" i="359" s="1"/>
  <c r="L28" i="359"/>
  <c r="K28" i="359"/>
  <c r="K29" i="359" s="1"/>
  <c r="J28" i="359"/>
  <c r="J29" i="359" s="1"/>
  <c r="I28" i="359"/>
  <c r="H28" i="359"/>
  <c r="H29" i="359" s="1"/>
  <c r="G28" i="359"/>
  <c r="G29" i="359" s="1"/>
  <c r="F28" i="359"/>
  <c r="F29" i="359" s="1"/>
  <c r="E28" i="359"/>
  <c r="D28" i="359"/>
  <c r="D29" i="359" s="1"/>
  <c r="C28" i="359"/>
  <c r="C29" i="359" s="1"/>
  <c r="B28" i="359"/>
  <c r="B29" i="359" s="1"/>
  <c r="X24" i="359"/>
  <c r="X25" i="359" s="1"/>
  <c r="W24" i="359"/>
  <c r="V24" i="359"/>
  <c r="U24" i="359"/>
  <c r="T24" i="359"/>
  <c r="T25" i="359" s="1"/>
  <c r="H20" i="353"/>
  <c r="H12" i="353"/>
  <c r="H111" i="397" l="1"/>
  <c r="P111" i="397"/>
  <c r="I111" i="397"/>
  <c r="Q111" i="397"/>
  <c r="F111" i="397"/>
  <c r="N111" i="397"/>
  <c r="V111" i="397"/>
  <c r="K111" i="397"/>
  <c r="S111" i="397"/>
  <c r="L111" i="397"/>
  <c r="T111" i="397"/>
  <c r="C111" i="397"/>
  <c r="M111" i="397"/>
  <c r="U111" i="397"/>
  <c r="J111" i="397"/>
  <c r="J113" i="397" s="1"/>
  <c r="R111" i="397"/>
  <c r="G111" i="397"/>
  <c r="O111" i="397"/>
  <c r="W111" i="397"/>
  <c r="C16" i="387"/>
  <c r="K16" i="387"/>
  <c r="G16" i="387"/>
  <c r="O16" i="387"/>
  <c r="AN35" i="397"/>
  <c r="AN76" i="397"/>
  <c r="H10" i="397"/>
  <c r="R15" i="397"/>
  <c r="Q14" i="397"/>
  <c r="R14" i="397" s="1"/>
  <c r="P14" i="397"/>
  <c r="R8" i="397"/>
  <c r="R34" i="397"/>
  <c r="Q39" i="397"/>
  <c r="P39" i="397"/>
  <c r="Q75" i="397"/>
  <c r="R75" i="397" s="1"/>
  <c r="P75" i="397"/>
  <c r="R80" i="397"/>
  <c r="K100" i="397"/>
  <c r="M35" i="397"/>
  <c r="P15" i="397"/>
  <c r="P35" i="397" s="1"/>
  <c r="Q33" i="397"/>
  <c r="R33" i="397" s="1"/>
  <c r="P33" i="397"/>
  <c r="N83" i="397"/>
  <c r="L100" i="397"/>
  <c r="N35" i="397"/>
  <c r="R79" i="397"/>
  <c r="S100" i="397"/>
  <c r="AO100" i="397"/>
  <c r="O35" i="397"/>
  <c r="P32" i="397"/>
  <c r="Q32" i="397"/>
  <c r="R38" i="397"/>
  <c r="Q41" i="397"/>
  <c r="R41" i="397" s="1"/>
  <c r="P41" i="397"/>
  <c r="R62" i="397"/>
  <c r="Q18" i="397"/>
  <c r="R18" i="397" s="1"/>
  <c r="P18" i="397"/>
  <c r="R32" i="397"/>
  <c r="Q69" i="397"/>
  <c r="R69" i="397" s="1"/>
  <c r="P69" i="397"/>
  <c r="F100" i="397"/>
  <c r="F113" i="397" s="1"/>
  <c r="W113" i="397"/>
  <c r="Q13" i="397"/>
  <c r="C35" i="397"/>
  <c r="H15" i="397"/>
  <c r="H35" i="397" s="1"/>
  <c r="R23" i="397"/>
  <c r="Q31" i="397"/>
  <c r="R31" i="397" s="1"/>
  <c r="P31" i="397"/>
  <c r="Q44" i="397"/>
  <c r="R44" i="397" s="1"/>
  <c r="P44" i="397"/>
  <c r="Q72" i="397"/>
  <c r="R72" i="397" s="1"/>
  <c r="P72" i="397"/>
  <c r="I100" i="397"/>
  <c r="I113" i="397" s="1"/>
  <c r="G100" i="397"/>
  <c r="G113" i="397" s="1"/>
  <c r="AH101" i="397"/>
  <c r="Q17" i="397"/>
  <c r="R17" i="397" s="1"/>
  <c r="P17" i="397"/>
  <c r="M100" i="397"/>
  <c r="M113" i="397" s="1"/>
  <c r="R26" i="397"/>
  <c r="Q40" i="397"/>
  <c r="R40" i="397" s="1"/>
  <c r="P40" i="397"/>
  <c r="R43" i="397"/>
  <c r="Q68" i="397"/>
  <c r="R68" i="397" s="1"/>
  <c r="P68" i="397"/>
  <c r="AP100" i="397"/>
  <c r="R94" i="397"/>
  <c r="Q24" i="397"/>
  <c r="R24" i="397" s="1"/>
  <c r="Q29" i="397"/>
  <c r="R29" i="397" s="1"/>
  <c r="Q45" i="397"/>
  <c r="R45" i="397" s="1"/>
  <c r="Q58" i="397"/>
  <c r="R58" i="397" s="1"/>
  <c r="P60" i="397"/>
  <c r="Q71" i="397"/>
  <c r="R71" i="397" s="1"/>
  <c r="Q79" i="397"/>
  <c r="Q83" i="397" s="1"/>
  <c r="P81" i="397"/>
  <c r="O83" i="397"/>
  <c r="O100" i="397" s="1"/>
  <c r="P85" i="397"/>
  <c r="P86" i="397" s="1"/>
  <c r="P97" i="397"/>
  <c r="P98" i="397" s="1"/>
  <c r="C41" i="397"/>
  <c r="C42" i="397" s="1"/>
  <c r="C43" i="397" s="1"/>
  <c r="C44" i="397" s="1"/>
  <c r="C45" i="397" s="1"/>
  <c r="C46" i="397" s="1"/>
  <c r="C47" i="397" s="1"/>
  <c r="C48" i="397" s="1"/>
  <c r="C49" i="397" s="1"/>
  <c r="C50" i="397" s="1"/>
  <c r="C51" i="397" s="1"/>
  <c r="C52" i="397" s="1"/>
  <c r="C53" i="397" s="1"/>
  <c r="C54" i="397" s="1"/>
  <c r="C55" i="397" s="1"/>
  <c r="C56" i="397" s="1"/>
  <c r="C57" i="397" s="1"/>
  <c r="C58" i="397" s="1"/>
  <c r="C59" i="397" s="1"/>
  <c r="C60" i="397" s="1"/>
  <c r="C61" i="397" s="1"/>
  <c r="C62" i="397" s="1"/>
  <c r="C63" i="397" s="1"/>
  <c r="C64" i="397" s="1"/>
  <c r="C65" i="397" s="1"/>
  <c r="C66" i="397" s="1"/>
  <c r="C67" i="397" s="1"/>
  <c r="C68" i="397" s="1"/>
  <c r="C69" i="397" s="1"/>
  <c r="C70" i="397" s="1"/>
  <c r="C71" i="397" s="1"/>
  <c r="C72" i="397" s="1"/>
  <c r="C73" i="397" s="1"/>
  <c r="C74" i="397" s="1"/>
  <c r="C75" i="397" s="1"/>
  <c r="H42" i="397"/>
  <c r="H76" i="397" s="1"/>
  <c r="H100" i="397" s="1"/>
  <c r="R63" i="397"/>
  <c r="Q85" i="397"/>
  <c r="AN94" i="397"/>
  <c r="AN100" i="397" s="1"/>
  <c r="Q97" i="397"/>
  <c r="P34" i="397"/>
  <c r="Q94" i="397"/>
  <c r="P23" i="397"/>
  <c r="P28" i="397"/>
  <c r="P43" i="397"/>
  <c r="P57" i="397"/>
  <c r="P59" i="397"/>
  <c r="P76" i="397" s="1"/>
  <c r="P64" i="397"/>
  <c r="P67" i="397"/>
  <c r="P80" i="397"/>
  <c r="Q89" i="397"/>
  <c r="Q90" i="397" s="1"/>
  <c r="P30" i="397"/>
  <c r="R39" i="397"/>
  <c r="N76" i="397"/>
  <c r="N100" i="397" s="1"/>
  <c r="N113" i="397" s="1"/>
  <c r="P79" i="397"/>
  <c r="AU14" i="396"/>
  <c r="AV14" i="396"/>
  <c r="M6" i="396"/>
  <c r="P7" i="396"/>
  <c r="P15" i="396"/>
  <c r="L14" i="396"/>
  <c r="P5" i="396"/>
  <c r="M13" i="396"/>
  <c r="M12" i="396"/>
  <c r="O12" i="396" s="1"/>
  <c r="M11" i="396"/>
  <c r="O13" i="396"/>
  <c r="P10" i="396"/>
  <c r="O6" i="396"/>
  <c r="F12" i="396"/>
  <c r="F14" i="396" s="1"/>
  <c r="K14" i="396"/>
  <c r="L15" i="396" s="1"/>
  <c r="D14" i="396"/>
  <c r="O11" i="396"/>
  <c r="AU17" i="395"/>
  <c r="P8" i="395"/>
  <c r="P12" i="395"/>
  <c r="M9" i="395"/>
  <c r="M15" i="395"/>
  <c r="O15" i="395" s="1"/>
  <c r="P7" i="395"/>
  <c r="P11" i="395"/>
  <c r="L17" i="395"/>
  <c r="M14" i="395"/>
  <c r="P10" i="395"/>
  <c r="P13" i="395"/>
  <c r="P5" i="395"/>
  <c r="O14" i="395"/>
  <c r="O9" i="395"/>
  <c r="AV14" i="394"/>
  <c r="P13" i="394"/>
  <c r="F14" i="394"/>
  <c r="M11" i="394"/>
  <c r="O11" i="394" s="1"/>
  <c r="M12" i="394"/>
  <c r="M9" i="394"/>
  <c r="M10" i="394"/>
  <c r="O10" i="394" s="1"/>
  <c r="L14" i="394"/>
  <c r="P15" i="394" s="1"/>
  <c r="P5" i="394"/>
  <c r="M6" i="394"/>
  <c r="O6" i="394" s="1"/>
  <c r="M8" i="394"/>
  <c r="O8" i="394" s="1"/>
  <c r="O9" i="394"/>
  <c r="O12" i="394"/>
  <c r="K14" i="394"/>
  <c r="L15" i="394" s="1"/>
  <c r="F9" i="394"/>
  <c r="P6" i="393"/>
  <c r="P7" i="393"/>
  <c r="L10" i="393"/>
  <c r="P5" i="393"/>
  <c r="P9" i="393"/>
  <c r="P11" i="393"/>
  <c r="P8" i="393"/>
  <c r="K10" i="393"/>
  <c r="M11" i="392"/>
  <c r="M14" i="392"/>
  <c r="O14" i="392" s="1"/>
  <c r="M10" i="392"/>
  <c r="M9" i="392"/>
  <c r="M13" i="392"/>
  <c r="O13" i="392" s="1"/>
  <c r="M8" i="392"/>
  <c r="O8" i="392" s="1"/>
  <c r="F15" i="392"/>
  <c r="M7" i="392"/>
  <c r="P12" i="392"/>
  <c r="M6" i="392"/>
  <c r="O6" i="392" s="1"/>
  <c r="O9" i="392"/>
  <c r="O10" i="392"/>
  <c r="AV14" i="392"/>
  <c r="AV15" i="392" s="1"/>
  <c r="P5" i="392"/>
  <c r="D15" i="392"/>
  <c r="N15" i="392"/>
  <c r="AV28" i="391"/>
  <c r="M8" i="391"/>
  <c r="O8" i="391" s="1"/>
  <c r="M19" i="391"/>
  <c r="O19" i="391" s="1"/>
  <c r="M27" i="391"/>
  <c r="M7" i="391"/>
  <c r="O7" i="391" s="1"/>
  <c r="M14" i="391"/>
  <c r="O14" i="391" s="1"/>
  <c r="M18" i="391"/>
  <c r="O18" i="391" s="1"/>
  <c r="M23" i="391"/>
  <c r="O23" i="391" s="1"/>
  <c r="M10" i="391"/>
  <c r="O10" i="391" s="1"/>
  <c r="M13" i="391"/>
  <c r="O13" i="391" s="1"/>
  <c r="M22" i="391"/>
  <c r="O22" i="391" s="1"/>
  <c r="P26" i="391"/>
  <c r="M17" i="391"/>
  <c r="O17" i="391" s="1"/>
  <c r="M21" i="391"/>
  <c r="O21" i="391" s="1"/>
  <c r="P25" i="391"/>
  <c r="M9" i="391"/>
  <c r="O9" i="391" s="1"/>
  <c r="M12" i="391"/>
  <c r="O12" i="391" s="1"/>
  <c r="P29" i="391"/>
  <c r="M16" i="391"/>
  <c r="O16" i="391" s="1"/>
  <c r="M15" i="391"/>
  <c r="O15" i="391" s="1"/>
  <c r="M20" i="391"/>
  <c r="O20" i="391" s="1"/>
  <c r="P24" i="391"/>
  <c r="F28" i="391"/>
  <c r="O6" i="391"/>
  <c r="F13" i="391"/>
  <c r="N28" i="391"/>
  <c r="F9" i="391"/>
  <c r="F10" i="391"/>
  <c r="P5" i="391"/>
  <c r="L11" i="391"/>
  <c r="P11" i="391" s="1"/>
  <c r="O27" i="391"/>
  <c r="M17" i="390"/>
  <c r="M22" i="390"/>
  <c r="M6" i="390"/>
  <c r="M8" i="390"/>
  <c r="M13" i="390"/>
  <c r="M11" i="390"/>
  <c r="S127" i="390"/>
  <c r="M9" i="390"/>
  <c r="P12" i="390"/>
  <c r="O23" i="390"/>
  <c r="M31" i="390"/>
  <c r="P49" i="390"/>
  <c r="M96" i="390"/>
  <c r="N127" i="390"/>
  <c r="AV21" i="390"/>
  <c r="AV127" i="390" s="1"/>
  <c r="M58" i="390"/>
  <c r="O58" i="390" s="1"/>
  <c r="O60" i="390"/>
  <c r="M62" i="390"/>
  <c r="M91" i="390"/>
  <c r="O91" i="390" s="1"/>
  <c r="P14" i="390"/>
  <c r="M20" i="390"/>
  <c r="O28" i="390"/>
  <c r="M34" i="390"/>
  <c r="O35" i="390"/>
  <c r="P45" i="390"/>
  <c r="P47" i="390"/>
  <c r="P56" i="390"/>
  <c r="M59" i="390"/>
  <c r="O66" i="390"/>
  <c r="P25" i="390"/>
  <c r="M60" i="390"/>
  <c r="D127" i="390"/>
  <c r="F5" i="390"/>
  <c r="O17" i="390"/>
  <c r="M35" i="390"/>
  <c r="P44" i="390"/>
  <c r="P46" i="390"/>
  <c r="M54" i="390"/>
  <c r="O54" i="390" s="1"/>
  <c r="P55" i="390"/>
  <c r="M28" i="390"/>
  <c r="K127" i="390"/>
  <c r="G127" i="390"/>
  <c r="P7" i="390"/>
  <c r="O8" i="390"/>
  <c r="M10" i="390"/>
  <c r="O20" i="390"/>
  <c r="O22" i="390"/>
  <c r="O30" i="390"/>
  <c r="O39" i="390"/>
  <c r="P42" i="390"/>
  <c r="P43" i="390"/>
  <c r="P74" i="390"/>
  <c r="L127" i="390"/>
  <c r="P5" i="390"/>
  <c r="O10" i="390"/>
  <c r="M15" i="390"/>
  <c r="P18" i="390"/>
  <c r="F27" i="390"/>
  <c r="O27" i="390"/>
  <c r="M38" i="390"/>
  <c r="O38" i="390" s="1"/>
  <c r="M39" i="390"/>
  <c r="M76" i="390"/>
  <c r="O76" i="390" s="1"/>
  <c r="M84" i="390"/>
  <c r="P86" i="390"/>
  <c r="P33" i="390"/>
  <c r="P51" i="390"/>
  <c r="O6" i="390"/>
  <c r="F6" i="390"/>
  <c r="P16" i="390"/>
  <c r="P21" i="390"/>
  <c r="M23" i="390"/>
  <c r="M26" i="390"/>
  <c r="O26" i="390" s="1"/>
  <c r="P50" i="390"/>
  <c r="M52" i="390"/>
  <c r="M78" i="390"/>
  <c r="O11" i="390"/>
  <c r="O19" i="390"/>
  <c r="F22" i="390"/>
  <c r="M37" i="390"/>
  <c r="O37" i="390" s="1"/>
  <c r="O65" i="390"/>
  <c r="O67" i="390"/>
  <c r="O70" i="390"/>
  <c r="O73" i="390"/>
  <c r="O80" i="390"/>
  <c r="P85" i="390"/>
  <c r="M98" i="390"/>
  <c r="O99" i="390"/>
  <c r="O40" i="390"/>
  <c r="O106" i="390"/>
  <c r="P36" i="390"/>
  <c r="P83" i="390"/>
  <c r="F84" i="390"/>
  <c r="O92" i="390"/>
  <c r="P97" i="390"/>
  <c r="L128" i="390"/>
  <c r="M68" i="390"/>
  <c r="P72" i="390"/>
  <c r="E127" i="390"/>
  <c r="F81" i="390"/>
  <c r="P88" i="390"/>
  <c r="O93" i="390"/>
  <c r="P94" i="390"/>
  <c r="P102" i="390"/>
  <c r="S20" i="390"/>
  <c r="P48" i="390"/>
  <c r="O52" i="390"/>
  <c r="F52" i="390"/>
  <c r="P61" i="390"/>
  <c r="F82" i="390"/>
  <c r="O90" i="390"/>
  <c r="O62" i="390"/>
  <c r="M66" i="390"/>
  <c r="M73" i="390"/>
  <c r="M75" i="390"/>
  <c r="M77" i="390"/>
  <c r="M87" i="390"/>
  <c r="O87" i="390" s="1"/>
  <c r="P89" i="390"/>
  <c r="O31" i="390"/>
  <c r="O32" i="390"/>
  <c r="P64" i="390"/>
  <c r="O78" i="390"/>
  <c r="P81" i="390"/>
  <c r="O111" i="390"/>
  <c r="M116" i="390"/>
  <c r="O116" i="390" s="1"/>
  <c r="O77" i="390"/>
  <c r="O79" i="390"/>
  <c r="O96" i="390"/>
  <c r="O121" i="390"/>
  <c r="O119" i="390"/>
  <c r="O125" i="390"/>
  <c r="O98" i="390"/>
  <c r="M104" i="390"/>
  <c r="O104" i="390" s="1"/>
  <c r="O100" i="390"/>
  <c r="P113" i="390"/>
  <c r="O118" i="390"/>
  <c r="F110" i="390"/>
  <c r="M109" i="390"/>
  <c r="O109" i="390" s="1"/>
  <c r="M114" i="390"/>
  <c r="O114" i="390" s="1"/>
  <c r="AU128" i="389"/>
  <c r="P17" i="389"/>
  <c r="O9" i="389"/>
  <c r="M15" i="389"/>
  <c r="O15" i="389" s="1"/>
  <c r="M21" i="389"/>
  <c r="O21" i="389" s="1"/>
  <c r="M22" i="389"/>
  <c r="M23" i="389"/>
  <c r="M26" i="389"/>
  <c r="O26" i="389" s="1"/>
  <c r="M27" i="389"/>
  <c r="P37" i="389"/>
  <c r="P57" i="389"/>
  <c r="M18" i="389"/>
  <c r="L112" i="389"/>
  <c r="P5" i="389"/>
  <c r="M14" i="389"/>
  <c r="O14" i="389" s="1"/>
  <c r="M50" i="389"/>
  <c r="O50" i="389" s="1"/>
  <c r="O11" i="389"/>
  <c r="M20" i="389"/>
  <c r="O20" i="389" s="1"/>
  <c r="M36" i="389"/>
  <c r="M28" i="389"/>
  <c r="P38" i="389"/>
  <c r="P6" i="389"/>
  <c r="M8" i="389"/>
  <c r="P29" i="389"/>
  <c r="M31" i="389"/>
  <c r="O31" i="389" s="1"/>
  <c r="P33" i="389"/>
  <c r="M34" i="389"/>
  <c r="P46" i="389"/>
  <c r="M19" i="389"/>
  <c r="M10" i="389"/>
  <c r="M63" i="389"/>
  <c r="O7" i="389"/>
  <c r="O10" i="389"/>
  <c r="P30" i="389"/>
  <c r="O34" i="389"/>
  <c r="S44" i="389"/>
  <c r="M44" i="389" s="1"/>
  <c r="P52" i="389"/>
  <c r="M55" i="389"/>
  <c r="O55" i="389" s="1"/>
  <c r="P66" i="389"/>
  <c r="P68" i="389"/>
  <c r="O69" i="389"/>
  <c r="P120" i="389"/>
  <c r="AZ128" i="389"/>
  <c r="AZ129" i="389" s="1"/>
  <c r="O45" i="389"/>
  <c r="P67" i="389"/>
  <c r="O80" i="389"/>
  <c r="M111" i="389"/>
  <c r="N112" i="389"/>
  <c r="N129" i="389" s="1"/>
  <c r="O18" i="389"/>
  <c r="O19" i="389"/>
  <c r="O23" i="389"/>
  <c r="O43" i="389"/>
  <c r="M47" i="389"/>
  <c r="O47" i="389" s="1"/>
  <c r="P51" i="389"/>
  <c r="M64" i="389"/>
  <c r="O64" i="389" s="1"/>
  <c r="P72" i="389"/>
  <c r="F76" i="389"/>
  <c r="O76" i="389"/>
  <c r="M78" i="389"/>
  <c r="O78" i="389" s="1"/>
  <c r="O79" i="389"/>
  <c r="P83" i="389"/>
  <c r="O87" i="389"/>
  <c r="F87" i="389"/>
  <c r="M95" i="389"/>
  <c r="O95" i="389" s="1"/>
  <c r="M102" i="389"/>
  <c r="M124" i="389"/>
  <c r="O22" i="389"/>
  <c r="M56" i="389"/>
  <c r="P61" i="389"/>
  <c r="P71" i="389"/>
  <c r="P12" i="389"/>
  <c r="F35" i="389"/>
  <c r="M42" i="389"/>
  <c r="P48" i="389"/>
  <c r="O53" i="389"/>
  <c r="O62" i="389"/>
  <c r="M74" i="389"/>
  <c r="P77" i="389"/>
  <c r="M79" i="389"/>
  <c r="P81" i="389"/>
  <c r="M122" i="389"/>
  <c r="O122" i="389" s="1"/>
  <c r="O123" i="389"/>
  <c r="M53" i="389"/>
  <c r="P70" i="389"/>
  <c r="D112" i="389"/>
  <c r="S112" i="389"/>
  <c r="O36" i="389"/>
  <c r="O42" i="389"/>
  <c r="M54" i="389"/>
  <c r="O56" i="389"/>
  <c r="P65" i="389"/>
  <c r="AV112" i="389"/>
  <c r="AV129" i="389" s="1"/>
  <c r="AU65" i="389"/>
  <c r="AU112" i="389" s="1"/>
  <c r="AU129" i="389" s="1"/>
  <c r="M75" i="389"/>
  <c r="O75" i="389" s="1"/>
  <c r="P84" i="389"/>
  <c r="R129" i="389"/>
  <c r="F5" i="389"/>
  <c r="S12" i="389"/>
  <c r="O27" i="389"/>
  <c r="P49" i="389"/>
  <c r="F50" i="389"/>
  <c r="P58" i="389"/>
  <c r="Q129" i="389"/>
  <c r="K112" i="389"/>
  <c r="L113" i="389" s="1"/>
  <c r="P113" i="389" s="1"/>
  <c r="O28" i="389"/>
  <c r="O54" i="389"/>
  <c r="P89" i="389"/>
  <c r="P103" i="389"/>
  <c r="O111" i="389"/>
  <c r="O85" i="389"/>
  <c r="M87" i="389"/>
  <c r="M90" i="389"/>
  <c r="O90" i="389" s="1"/>
  <c r="M96" i="389"/>
  <c r="M97" i="389"/>
  <c r="O97" i="389" s="1"/>
  <c r="P121" i="389"/>
  <c r="M123" i="389"/>
  <c r="O124" i="389"/>
  <c r="M118" i="389"/>
  <c r="O86" i="389"/>
  <c r="F128" i="389"/>
  <c r="G128" i="389"/>
  <c r="G129" i="389" s="1"/>
  <c r="F86" i="389"/>
  <c r="M91" i="389"/>
  <c r="O91" i="389" s="1"/>
  <c r="P98" i="389"/>
  <c r="P105" i="389"/>
  <c r="K128" i="389"/>
  <c r="K129" i="389" s="1"/>
  <c r="L130" i="389" s="1"/>
  <c r="M125" i="389"/>
  <c r="O125" i="389" s="1"/>
  <c r="O126" i="389"/>
  <c r="O127" i="389"/>
  <c r="O74" i="389"/>
  <c r="O96" i="389"/>
  <c r="P101" i="389"/>
  <c r="O102" i="389"/>
  <c r="F109" i="389"/>
  <c r="L128" i="389"/>
  <c r="L129" i="389" s="1"/>
  <c r="M116" i="389"/>
  <c r="O116" i="389" s="1"/>
  <c r="P119" i="389"/>
  <c r="P99" i="389"/>
  <c r="P100" i="389"/>
  <c r="M109" i="389"/>
  <c r="O109" i="389" s="1"/>
  <c r="P115" i="389"/>
  <c r="P117" i="389"/>
  <c r="O118" i="389"/>
  <c r="AY129" i="389"/>
  <c r="O93" i="389"/>
  <c r="AU101" i="389"/>
  <c r="O106" i="389"/>
  <c r="D128" i="389"/>
  <c r="S116" i="389"/>
  <c r="S128" i="389" s="1"/>
  <c r="S129" i="389" s="1"/>
  <c r="M7" i="388"/>
  <c r="P22" i="388"/>
  <c r="L77" i="388"/>
  <c r="P5" i="388"/>
  <c r="P6" i="388"/>
  <c r="M20" i="388"/>
  <c r="O20" i="388" s="1"/>
  <c r="P9" i="388"/>
  <c r="M14" i="388"/>
  <c r="M19" i="388"/>
  <c r="P30" i="388"/>
  <c r="M17" i="388"/>
  <c r="M18" i="388"/>
  <c r="M25" i="388"/>
  <c r="P29" i="388"/>
  <c r="M16" i="388"/>
  <c r="M8" i="388"/>
  <c r="P27" i="388"/>
  <c r="P33" i="388"/>
  <c r="M36" i="388"/>
  <c r="D77" i="388"/>
  <c r="P24" i="388"/>
  <c r="P28" i="388"/>
  <c r="P32" i="388"/>
  <c r="O51" i="388"/>
  <c r="P54" i="388"/>
  <c r="F55" i="388"/>
  <c r="P74" i="388"/>
  <c r="S77" i="388"/>
  <c r="P23" i="388"/>
  <c r="AU72" i="388"/>
  <c r="AL81" i="388"/>
  <c r="AL86" i="388" s="1"/>
  <c r="O75" i="388"/>
  <c r="N77" i="388"/>
  <c r="P12" i="388"/>
  <c r="O14" i="388"/>
  <c r="O18" i="388"/>
  <c r="M21" i="388"/>
  <c r="O21" i="388" s="1"/>
  <c r="O25" i="388"/>
  <c r="F25" i="388"/>
  <c r="F77" i="388" s="1"/>
  <c r="P53" i="388"/>
  <c r="P60" i="388"/>
  <c r="M62" i="388"/>
  <c r="O62" i="388" s="1"/>
  <c r="M63" i="388"/>
  <c r="O63" i="388" s="1"/>
  <c r="P66" i="388"/>
  <c r="M67" i="388"/>
  <c r="O67" i="388" s="1"/>
  <c r="M52" i="388"/>
  <c r="O52" i="388" s="1"/>
  <c r="M55" i="388"/>
  <c r="O55" i="388" s="1"/>
  <c r="P59" i="388"/>
  <c r="M64" i="388"/>
  <c r="O64" i="388" s="1"/>
  <c r="M68" i="388"/>
  <c r="O68" i="388" s="1"/>
  <c r="AM80" i="388"/>
  <c r="O8" i="388"/>
  <c r="P10" i="388"/>
  <c r="O16" i="388"/>
  <c r="M51" i="388"/>
  <c r="M56" i="388"/>
  <c r="O56" i="388" s="1"/>
  <c r="O65" i="388"/>
  <c r="M69" i="388"/>
  <c r="O69" i="388" s="1"/>
  <c r="O7" i="388"/>
  <c r="AM81" i="388"/>
  <c r="O19" i="388"/>
  <c r="P26" i="388"/>
  <c r="P37" i="388"/>
  <c r="M38" i="388"/>
  <c r="O38" i="388" s="1"/>
  <c r="P48" i="388"/>
  <c r="P49" i="388"/>
  <c r="P50" i="388"/>
  <c r="P58" i="388"/>
  <c r="M65" i="388"/>
  <c r="M70" i="388"/>
  <c r="O70" i="388" s="1"/>
  <c r="P15" i="388"/>
  <c r="M39" i="388"/>
  <c r="O39" i="388" s="1"/>
  <c r="P44" i="388"/>
  <c r="P45" i="388"/>
  <c r="P46" i="388"/>
  <c r="P47" i="388"/>
  <c r="K77" i="388"/>
  <c r="L78" i="388" s="1"/>
  <c r="G77" i="388"/>
  <c r="P78" i="388" s="1"/>
  <c r="AU77" i="388"/>
  <c r="S11" i="388"/>
  <c r="M11" i="388" s="1"/>
  <c r="P13" i="388"/>
  <c r="P31" i="388"/>
  <c r="P34" i="388"/>
  <c r="M35" i="388"/>
  <c r="O35" i="388" s="1"/>
  <c r="O36" i="388"/>
  <c r="P41" i="388"/>
  <c r="P42" i="388"/>
  <c r="P43" i="388"/>
  <c r="F52" i="388"/>
  <c r="F15" i="380"/>
  <c r="F12" i="376"/>
  <c r="I29" i="359"/>
  <c r="J22" i="359"/>
  <c r="S22" i="359"/>
  <c r="L29" i="359"/>
  <c r="V25" i="359"/>
  <c r="E29" i="359"/>
  <c r="N22" i="359"/>
  <c r="K22" i="359" s="1"/>
  <c r="U29" i="359"/>
  <c r="U25" i="359"/>
  <c r="W25" i="359"/>
  <c r="S24" i="359"/>
  <c r="S25" i="359" s="1"/>
  <c r="J13" i="354"/>
  <c r="J14" i="354"/>
  <c r="J8" i="354"/>
  <c r="J15" i="354"/>
  <c r="J9" i="354"/>
  <c r="J16" i="354"/>
  <c r="J12" i="354"/>
  <c r="H14" i="353"/>
  <c r="H15" i="353"/>
  <c r="H9" i="353"/>
  <c r="H17" i="353"/>
  <c r="H13" i="353"/>
  <c r="H16" i="353"/>
  <c r="H10" i="353"/>
  <c r="H18" i="353"/>
  <c r="H11" i="353"/>
  <c r="H19" i="353"/>
  <c r="H8" i="353"/>
  <c r="K113" i="397" l="1"/>
  <c r="O113" i="397"/>
  <c r="L113" i="397"/>
  <c r="S113" i="397"/>
  <c r="H113" i="397"/>
  <c r="R83" i="397"/>
  <c r="R89" i="397"/>
  <c r="R10" i="397"/>
  <c r="Q98" i="397"/>
  <c r="R97" i="397"/>
  <c r="R76" i="397"/>
  <c r="V113" i="397"/>
  <c r="AG118" i="397"/>
  <c r="C76" i="397"/>
  <c r="C100" i="397" s="1"/>
  <c r="C113" i="397" s="1"/>
  <c r="Q76" i="397"/>
  <c r="P83" i="397"/>
  <c r="P100" i="397" s="1"/>
  <c r="P113" i="397" s="1"/>
  <c r="Q86" i="397"/>
  <c r="R85" i="397"/>
  <c r="Q35" i="397"/>
  <c r="R13" i="397"/>
  <c r="AG101" i="397"/>
  <c r="P14" i="396"/>
  <c r="M5" i="396"/>
  <c r="M10" i="396"/>
  <c r="O10" i="396" s="1"/>
  <c r="M7" i="396"/>
  <c r="O7" i="396" s="1"/>
  <c r="M13" i="395"/>
  <c r="O13" i="395" s="1"/>
  <c r="M12" i="395"/>
  <c r="O12" i="395" s="1"/>
  <c r="M10" i="395"/>
  <c r="O10" i="395" s="1"/>
  <c r="M8" i="395"/>
  <c r="O8" i="395" s="1"/>
  <c r="M11" i="395"/>
  <c r="O11" i="395" s="1"/>
  <c r="M7" i="395"/>
  <c r="O7" i="395" s="1"/>
  <c r="P17" i="395"/>
  <c r="M5" i="395"/>
  <c r="M13" i="394"/>
  <c r="O13" i="394" s="1"/>
  <c r="P14" i="394"/>
  <c r="M5" i="394"/>
  <c r="M9" i="393"/>
  <c r="O9" i="393" s="1"/>
  <c r="M5" i="393"/>
  <c r="P10" i="393"/>
  <c r="M8" i="393"/>
  <c r="O8" i="393" s="1"/>
  <c r="M7" i="393"/>
  <c r="O7" i="393" s="1"/>
  <c r="M6" i="393"/>
  <c r="O6" i="393" s="1"/>
  <c r="O7" i="392"/>
  <c r="O11" i="392"/>
  <c r="M12" i="392"/>
  <c r="O12" i="392" s="1"/>
  <c r="P15" i="392"/>
  <c r="M5" i="392"/>
  <c r="M26" i="391"/>
  <c r="O26" i="391" s="1"/>
  <c r="AP31" i="391"/>
  <c r="M11" i="391"/>
  <c r="O11" i="391" s="1"/>
  <c r="L28" i="391"/>
  <c r="M25" i="391"/>
  <c r="O25" i="391" s="1"/>
  <c r="P28" i="391"/>
  <c r="M5" i="391"/>
  <c r="M24" i="391"/>
  <c r="O24" i="391" s="1"/>
  <c r="M89" i="390"/>
  <c r="O89" i="390" s="1"/>
  <c r="M102" i="390"/>
  <c r="O102" i="390" s="1"/>
  <c r="M36" i="390"/>
  <c r="O36" i="390" s="1"/>
  <c r="M7" i="390"/>
  <c r="O7" i="390" s="1"/>
  <c r="M56" i="390"/>
  <c r="O56" i="390" s="1"/>
  <c r="M64" i="390"/>
  <c r="O64" i="390" s="1"/>
  <c r="O75" i="390"/>
  <c r="O84" i="390"/>
  <c r="M85" i="390"/>
  <c r="O85" i="390" s="1"/>
  <c r="P127" i="390"/>
  <c r="M5" i="390"/>
  <c r="O34" i="390"/>
  <c r="P128" i="390"/>
  <c r="M47" i="390"/>
  <c r="O47" i="390" s="1"/>
  <c r="M49" i="390"/>
  <c r="O49" i="390" s="1"/>
  <c r="M94" i="390"/>
  <c r="O94" i="390" s="1"/>
  <c r="O68" i="390"/>
  <c r="M14" i="390"/>
  <c r="O14" i="390" s="1"/>
  <c r="O9" i="390"/>
  <c r="M72" i="390"/>
  <c r="O72" i="390" s="1"/>
  <c r="M51" i="390"/>
  <c r="O51" i="390" s="1"/>
  <c r="M46" i="390"/>
  <c r="O46" i="390" s="1"/>
  <c r="M25" i="390"/>
  <c r="O25" i="390" s="1"/>
  <c r="M45" i="390"/>
  <c r="O45" i="390" s="1"/>
  <c r="M83" i="390"/>
  <c r="O83" i="390" s="1"/>
  <c r="M33" i="390"/>
  <c r="O33" i="390" s="1"/>
  <c r="M43" i="390"/>
  <c r="O43" i="390" s="1"/>
  <c r="M81" i="390"/>
  <c r="O81" i="390" s="1"/>
  <c r="M18" i="390"/>
  <c r="O18" i="390" s="1"/>
  <c r="M88" i="390"/>
  <c r="O88" i="390" s="1"/>
  <c r="M21" i="390"/>
  <c r="O21" i="390" s="1"/>
  <c r="O59" i="390"/>
  <c r="O15" i="390"/>
  <c r="M61" i="390"/>
  <c r="O61" i="390" s="1"/>
  <c r="M44" i="390"/>
  <c r="O44" i="390" s="1"/>
  <c r="M50" i="390"/>
  <c r="O50" i="390" s="1"/>
  <c r="O13" i="390"/>
  <c r="M16" i="390"/>
  <c r="O16" i="390" s="1"/>
  <c r="M86" i="390"/>
  <c r="O86" i="390" s="1"/>
  <c r="M42" i="390"/>
  <c r="O42" i="390" s="1"/>
  <c r="M55" i="390"/>
  <c r="O55" i="390" s="1"/>
  <c r="F127" i="390"/>
  <c r="M48" i="390"/>
  <c r="O48" i="390" s="1"/>
  <c r="M97" i="390"/>
  <c r="O97" i="390" s="1"/>
  <c r="M74" i="390"/>
  <c r="O74" i="390" s="1"/>
  <c r="M113" i="390"/>
  <c r="O113" i="390" s="1"/>
  <c r="M12" i="390"/>
  <c r="O12" i="390" s="1"/>
  <c r="M98" i="389"/>
  <c r="O98" i="389" s="1"/>
  <c r="M101" i="389"/>
  <c r="O101" i="389" s="1"/>
  <c r="M61" i="389"/>
  <c r="O61" i="389" s="1"/>
  <c r="M83" i="389"/>
  <c r="O83" i="389" s="1"/>
  <c r="M72" i="389"/>
  <c r="O72" i="389" s="1"/>
  <c r="O63" i="389"/>
  <c r="O8" i="389"/>
  <c r="M71" i="389"/>
  <c r="O71" i="389" s="1"/>
  <c r="M77" i="389"/>
  <c r="O77" i="389" s="1"/>
  <c r="M66" i="389"/>
  <c r="O66" i="389" s="1"/>
  <c r="P130" i="389"/>
  <c r="O44" i="389"/>
  <c r="M70" i="389"/>
  <c r="O70" i="389" s="1"/>
  <c r="M30" i="389"/>
  <c r="O30" i="389" s="1"/>
  <c r="M46" i="389"/>
  <c r="O46" i="389" s="1"/>
  <c r="M29" i="389"/>
  <c r="O29" i="389" s="1"/>
  <c r="P112" i="389"/>
  <c r="M5" i="389"/>
  <c r="M49" i="389"/>
  <c r="O49" i="389" s="1"/>
  <c r="D129" i="389"/>
  <c r="M100" i="389"/>
  <c r="O100" i="389" s="1"/>
  <c r="M12" i="389"/>
  <c r="O12" i="389" s="1"/>
  <c r="M38" i="389"/>
  <c r="O38" i="389" s="1"/>
  <c r="M57" i="389"/>
  <c r="O57" i="389" s="1"/>
  <c r="M99" i="389"/>
  <c r="O99" i="389" s="1"/>
  <c r="M121" i="389"/>
  <c r="O121" i="389" s="1"/>
  <c r="M103" i="389"/>
  <c r="O103" i="389" s="1"/>
  <c r="M58" i="389"/>
  <c r="O58" i="389" s="1"/>
  <c r="M81" i="389"/>
  <c r="O81" i="389" s="1"/>
  <c r="M67" i="389"/>
  <c r="O67" i="389" s="1"/>
  <c r="M37" i="389"/>
  <c r="O37" i="389" s="1"/>
  <c r="M48" i="389"/>
  <c r="O48" i="389" s="1"/>
  <c r="M120" i="389"/>
  <c r="O120" i="389" s="1"/>
  <c r="M117" i="389"/>
  <c r="O117" i="389" s="1"/>
  <c r="F112" i="389"/>
  <c r="F129" i="389" s="1"/>
  <c r="M33" i="389"/>
  <c r="O33" i="389" s="1"/>
  <c r="M6" i="389"/>
  <c r="O6" i="389" s="1"/>
  <c r="M17" i="389"/>
  <c r="O17" i="389" s="1"/>
  <c r="P128" i="389"/>
  <c r="P129" i="389" s="1"/>
  <c r="M115" i="389"/>
  <c r="M119" i="389"/>
  <c r="O119" i="389" s="1"/>
  <c r="M105" i="389"/>
  <c r="O105" i="389" s="1"/>
  <c r="M89" i="389"/>
  <c r="O89" i="389" s="1"/>
  <c r="M84" i="389"/>
  <c r="O84" i="389" s="1"/>
  <c r="M65" i="389"/>
  <c r="O65" i="389" s="1"/>
  <c r="M51" i="389"/>
  <c r="O51" i="389" s="1"/>
  <c r="M68" i="389"/>
  <c r="O68" i="389" s="1"/>
  <c r="M52" i="389"/>
  <c r="O52" i="389" s="1"/>
  <c r="AL82" i="388"/>
  <c r="AM82" i="388"/>
  <c r="O11" i="388"/>
  <c r="M31" i="388"/>
  <c r="O31" i="388" s="1"/>
  <c r="M41" i="388"/>
  <c r="O41" i="388" s="1"/>
  <c r="M13" i="388"/>
  <c r="O13" i="388" s="1"/>
  <c r="M50" i="388"/>
  <c r="O50" i="388" s="1"/>
  <c r="M59" i="388"/>
  <c r="O59" i="388" s="1"/>
  <c r="M66" i="388"/>
  <c r="O66" i="388" s="1"/>
  <c r="M32" i="388"/>
  <c r="O32" i="388" s="1"/>
  <c r="M29" i="388"/>
  <c r="O29" i="388" s="1"/>
  <c r="M30" i="388"/>
  <c r="O30" i="388" s="1"/>
  <c r="P77" i="388"/>
  <c r="M5" i="388"/>
  <c r="M44" i="388"/>
  <c r="O44" i="388" s="1"/>
  <c r="M74" i="388"/>
  <c r="O74" i="388" s="1"/>
  <c r="M42" i="388"/>
  <c r="O42" i="388" s="1"/>
  <c r="M60" i="388"/>
  <c r="O60" i="388" s="1"/>
  <c r="M49" i="388"/>
  <c r="O49" i="388" s="1"/>
  <c r="M26" i="388"/>
  <c r="O26" i="388" s="1"/>
  <c r="M53" i="388"/>
  <c r="O53" i="388" s="1"/>
  <c r="M28" i="388"/>
  <c r="O28" i="388" s="1"/>
  <c r="M33" i="388"/>
  <c r="O33" i="388" s="1"/>
  <c r="M22" i="388"/>
  <c r="O22" i="388" s="1"/>
  <c r="M34" i="388"/>
  <c r="O34" i="388" s="1"/>
  <c r="M6" i="388"/>
  <c r="O6" i="388" s="1"/>
  <c r="M45" i="388"/>
  <c r="O45" i="388" s="1"/>
  <c r="M47" i="388"/>
  <c r="O47" i="388" s="1"/>
  <c r="M12" i="388"/>
  <c r="O12" i="388" s="1"/>
  <c r="M43" i="388"/>
  <c r="O43" i="388" s="1"/>
  <c r="M48" i="388"/>
  <c r="O48" i="388" s="1"/>
  <c r="M24" i="388"/>
  <c r="O24" i="388" s="1"/>
  <c r="M37" i="388"/>
  <c r="O37" i="388" s="1"/>
  <c r="M46" i="388"/>
  <c r="O46" i="388" s="1"/>
  <c r="M15" i="388"/>
  <c r="O15" i="388" s="1"/>
  <c r="M58" i="388"/>
  <c r="O58" i="388" s="1"/>
  <c r="M10" i="388"/>
  <c r="O10" i="388" s="1"/>
  <c r="O17" i="388"/>
  <c r="M23" i="388"/>
  <c r="O23" i="388" s="1"/>
  <c r="M54" i="388"/>
  <c r="O54" i="388" s="1"/>
  <c r="M27" i="388"/>
  <c r="O27" i="388" s="1"/>
  <c r="M9" i="388"/>
  <c r="O9" i="388" s="1"/>
  <c r="J11" i="354"/>
  <c r="J10" i="354"/>
  <c r="H21" i="353"/>
  <c r="R86" i="397" l="1"/>
  <c r="R98" i="397"/>
  <c r="Q100" i="397"/>
  <c r="Q113" i="397" s="1"/>
  <c r="R35" i="397"/>
  <c r="R90" i="397"/>
  <c r="M14" i="396"/>
  <c r="O5" i="396"/>
  <c r="O14" i="396" s="1"/>
  <c r="O5" i="395"/>
  <c r="O17" i="395" s="1"/>
  <c r="M17" i="395"/>
  <c r="M15" i="394"/>
  <c r="M14" i="394"/>
  <c r="O5" i="394"/>
  <c r="O14" i="394" s="1"/>
  <c r="M10" i="393"/>
  <c r="O5" i="393"/>
  <c r="O10" i="393" s="1"/>
  <c r="M15" i="392"/>
  <c r="T16" i="392" s="1"/>
  <c r="O5" i="392"/>
  <c r="O15" i="392" s="1"/>
  <c r="O5" i="391"/>
  <c r="O28" i="391" s="1"/>
  <c r="M28" i="391"/>
  <c r="M127" i="390"/>
  <c r="O5" i="390"/>
  <c r="O127" i="390" s="1"/>
  <c r="M112" i="389"/>
  <c r="O5" i="389"/>
  <c r="O112" i="389" s="1"/>
  <c r="M128" i="389"/>
  <c r="O115" i="389"/>
  <c r="O128" i="389" s="1"/>
  <c r="M77" i="388"/>
  <c r="O5" i="388"/>
  <c r="O77" i="388" s="1"/>
  <c r="T8" i="379"/>
  <c r="J17" i="354"/>
  <c r="R100" i="397" l="1"/>
  <c r="R113" i="397" s="1"/>
  <c r="M15" i="396"/>
  <c r="M11" i="393"/>
  <c r="M128" i="390"/>
  <c r="AN130" i="390"/>
  <c r="O129" i="389"/>
  <c r="M129" i="389"/>
  <c r="T130" i="389" s="1"/>
  <c r="M113" i="389"/>
  <c r="U81" i="388"/>
  <c r="U80" i="388"/>
  <c r="M78" i="388"/>
  <c r="T113" i="397" l="1"/>
  <c r="U113" i="397"/>
  <c r="N18" i="395"/>
  <c r="M18" i="395"/>
  <c r="M16" i="392"/>
  <c r="U16" i="392"/>
  <c r="M130" i="389"/>
  <c r="U82" i="388"/>
  <c r="Y24" i="359" l="1"/>
  <c r="Y25" i="359" s="1"/>
</calcChain>
</file>

<file path=xl/comments1.xml><?xml version="1.0" encoding="utf-8"?>
<comments xmlns="http://schemas.openxmlformats.org/spreadsheetml/2006/main">
  <authors>
    <author>Gizbarut-Orna Goldfriend</author>
  </authors>
  <commentList>
    <comment ref="G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לבדוק  כיצד יש יתרה בקרן</t>
        </r>
      </text>
    </comment>
  </commentList>
</comments>
</file>

<file path=xl/comments10.xml><?xml version="1.0" encoding="utf-8"?>
<comments xmlns="http://schemas.openxmlformats.org/spreadsheetml/2006/main">
  <authors>
    <author>Gizbarut-Orna Goldfriend</author>
  </authors>
  <commentList>
    <comment ref="AA2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  <comment ref="AA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</commentList>
</comments>
</file>

<file path=xl/comments11.xml><?xml version="1.0" encoding="utf-8"?>
<comments xmlns="http://schemas.openxmlformats.org/spreadsheetml/2006/main">
  <authors>
    <author>Gizbarut-Orna Goldfriend</author>
  </authors>
  <commentList>
    <comment ref="AL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ממתין לטופס תבר 11.10.22</t>
        </r>
      </text>
    </comment>
    <comment ref="AD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9.1.22</t>
        </r>
      </text>
    </comment>
    <comment ref="AA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L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ממתין לטופס תבר.</t>
        </r>
      </text>
    </comment>
    <comment ref="AJ3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 מלשח  הקטנת תקציב. יש רק 369 אלשח מקע"פ. תוקן בהזרמת תקציב יולי 2022</t>
        </r>
      </text>
    </comment>
    <comment ref="AK3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שינוי מימון מ. הבינוי. 30.8.22</t>
        </r>
      </text>
    </comment>
    <comment ref="AA5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A5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</commentList>
</comments>
</file>

<file path=xl/comments12.xml><?xml version="1.0" encoding="utf-8"?>
<comments xmlns="http://schemas.openxmlformats.org/spreadsheetml/2006/main">
  <authors>
    <author>Gizbarut-Orna Goldfriend</author>
    <author>Gizbarut-Karin Kaldron</author>
  </authors>
  <commentList>
    <comment ref="AA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
</t>
        </r>
      </text>
    </comment>
    <comment ref="AL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מותנה במפעל הפיס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G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750  900 אלשח. סעיף 950 100 אלשח.</t>
        </r>
      </text>
    </comment>
    <comment ref="AG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תוספת הרשאה מ. הבינוי</t>
        </r>
      </text>
    </comment>
    <comment ref="AK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30.8.22 מ. הבינוי</t>
        </r>
      </text>
    </comment>
    <comment ref="AA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G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25.4.22</t>
        </r>
      </text>
    </comment>
    <comment ref="AJ3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750</t>
        </r>
      </text>
    </comment>
    <comment ref="AK3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 מלשח סעיף 750 ו- 500 אלשח סעיף 950</t>
        </r>
      </text>
    </comment>
    <comment ref="AI3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J3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950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F4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קדם מימון מ. הלחינוך התקבל 9.1.22</t>
        </r>
      </text>
    </comment>
    <comment ref="AH4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מ. החינוך מס' 1001531646 בניכוי 294,000 ₪ הצטיידות</t>
        </r>
      </text>
    </comment>
    <comment ref="AG4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750 1 מלשח סעיף 950 100 אלשח</t>
        </r>
      </text>
    </comment>
    <comment ref="AA4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5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N56" authorId="1" shapeId="0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נדחה ל 2023
</t>
        </r>
      </text>
    </comment>
    <comment ref="AA6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
</t>
        </r>
      </text>
    </comment>
    <comment ref="AK6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30.8.22 עדכון 2 מלשח מפעל הפיס מענק מס' 1364</t>
        </r>
      </text>
    </comment>
    <comment ref="AA7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J7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750</t>
        </r>
      </text>
    </comment>
    <comment ref="AK7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750</t>
        </r>
      </text>
    </comment>
    <comment ref="AA8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  <comment ref="AK8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Z8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קדם מימון 2022/05/042</t>
        </r>
      </text>
    </comment>
    <comment ref="AA8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בניכוי קדם מימון שהתקבל.</t>
        </r>
      </text>
    </comment>
    <comment ref="AL8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 החינוך  הרשאות ועד גובה תקציב המסגרת 2022. בנוסף קעפ</t>
        </r>
      </text>
    </comment>
    <comment ref="AZ8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2 הרשאות ללא הצטיידות. ועד גובה תקציב המסגרת מ. החינוך</t>
        </r>
      </text>
    </comment>
    <comment ref="AA8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H8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קדם מימון הרשאה 1001508483</t>
        </r>
      </text>
    </comment>
    <comment ref="AK8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21.8.22</t>
        </r>
      </text>
    </comment>
    <comment ref="AJ9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21.7.22</t>
        </r>
      </text>
    </comment>
    <comment ref="AK9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21.8.22</t>
        </r>
      </text>
    </comment>
    <comment ref="AH9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K9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בקשה נוספת עבור תבל חלונות אקוסטיים</t>
        </r>
      </text>
    </comment>
    <comment ref="AG10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L10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לקבל אומדן מפורט.הושלם</t>
        </r>
      </text>
    </comment>
    <comment ref="BN102" authorId="1" shapeId="0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תכנון + ביצוע</t>
        </r>
      </text>
    </comment>
    <comment ref="AI10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I10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950לצורך עלויות שהוצאו בפרויקט.</t>
        </r>
      </text>
    </comment>
    <comment ref="AL10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בסיכום עם עמי רק 100 אלשח</t>
        </r>
      </text>
    </comment>
    <comment ref="AI10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H10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G10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K10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750</t>
        </r>
      </text>
    </comment>
    <comment ref="AH10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H1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950</t>
        </r>
      </text>
    </comment>
    <comment ref="AA1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רמ"י.</t>
        </r>
      </text>
    </comment>
    <comment ref="AA11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I11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השלמת הרשאה מ. החינוך בי"ס  1001380835 , 10013370955</t>
        </r>
      </text>
    </comment>
    <comment ref="AJ11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750</t>
        </r>
      </text>
    </comment>
    <comment ref="AL11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בוצע 29.9.22</t>
        </r>
      </text>
    </comment>
    <comment ref="AA12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מ. החינוך
</t>
        </r>
      </text>
    </comment>
    <comment ref="AI12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סעיף 750 מ. החינוך חט"ב הרשאה 2021/76/059 ללא הצטיידות ובהפחתה של 15% בדיעבד. עודכן ב - 29.6.22 תקציב בגין הרשאה בי"ס הקנס לאור קבלת התקבולים. ראה קובץ סרוק</t>
        </r>
      </text>
    </comment>
    <comment ref="AA12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</commentList>
</comments>
</file>

<file path=xl/comments13.xml><?xml version="1.0" encoding="utf-8"?>
<comments xmlns="http://schemas.openxmlformats.org/spreadsheetml/2006/main">
  <authors>
    <author>Gizbarut-Orna Goldfriend</author>
    <author>Logistic-Tali Sherpsky</author>
  </authors>
  <commentList>
    <comment ref="AE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17.2.22</t>
        </r>
      </text>
    </comment>
    <comment ref="AA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הלוואות=מימון ביניים .של העירייה. </t>
        </r>
      </text>
    </comment>
    <comment ref="AD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24.1.22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F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27.3.22</t>
        </r>
      </text>
    </comment>
    <comment ref="AH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25.5.22</t>
        </r>
      </text>
    </comment>
    <comment ref="AJ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E14" authorId="0" shapeId="0">
      <text>
        <r>
          <rPr>
            <b/>
            <sz val="9"/>
            <color indexed="81"/>
            <rFont val="Tahoma"/>
            <family val="2"/>
          </rPr>
          <t>Gizbarut-Orna Goldfriב - 15.2.22 : בוצע 230 אלשח</t>
        </r>
      </text>
    </comment>
    <comment ref="AJ1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J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הסכום שגוי</t>
        </r>
      </text>
    </comment>
    <comment ref="AH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25.5.22</t>
        </r>
      </text>
    </comment>
    <comment ref="AA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  <comment ref="AG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שינוי מימון</t>
        </r>
      </text>
    </comment>
    <comment ref="AA2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הועדה החקלאית</t>
        </r>
      </text>
    </comment>
    <comment ref="AJ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A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הגנת הסביבה. הקטנת תקציב לפי ביצוע.</t>
        </r>
      </text>
    </comment>
    <comment ref="AL2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12.10.22</t>
        </r>
      </text>
    </comment>
    <comment ref="AE3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ב - 15.2.22 בוצע 50 אלשח</t>
        </r>
      </text>
    </comment>
    <comment ref="AJ4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A4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E4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16.2.22</t>
        </r>
      </text>
    </comment>
    <comment ref="AH4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25.5.22</t>
        </r>
      </text>
    </comment>
    <comment ref="AJ4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J5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J5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J5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D5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18.1.22</t>
        </r>
      </text>
    </comment>
    <comment ref="AE5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700 אלשח בוצע ב - 16.2.22</t>
        </r>
      </text>
    </comment>
    <comment ref="AF5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15.3.22</t>
        </r>
      </text>
    </comment>
    <comment ref="AA6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F7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27.3.22</t>
        </r>
      </text>
    </comment>
    <comment ref="AA8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 3 יבילים</t>
        </r>
      </text>
    </comment>
    <comment ref="AG8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שינוי מימון 17.4.22</t>
        </r>
      </text>
    </comment>
    <comment ref="AA9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ראשונים 2021/25/011</t>
        </r>
      </text>
    </comment>
    <comment ref="AA103" authorId="1" shapeId="0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משרד התחבורה</t>
        </r>
      </text>
    </comment>
    <comment ref="AD10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2.1.22</t>
        </r>
      </text>
    </comment>
    <comment ref="AL10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התחבורה. תוקצב ב - 2023. ככל שיתקבל ב - 2022 יעוגן תקציבית.</t>
        </r>
      </text>
    </comment>
    <comment ref="AE10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17.2.22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</rPr>
          <t>Gizbarut-Orna Goldfriend: מ. הגנת הסביבה</t>
        </r>
      </text>
    </comment>
    <comment ref="AA1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H1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25.5.22</t>
        </r>
      </text>
    </comment>
    <comment ref="AJ1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27.6.22</t>
        </r>
      </text>
    </comment>
    <comment ref="AJ11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26.7.22</t>
        </r>
      </text>
    </comment>
    <comment ref="AE11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16.2.22</t>
        </r>
      </text>
    </comment>
    <comment ref="AK11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1.8.22</t>
        </r>
      </text>
    </comment>
    <comment ref="AA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D12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2.1.22</t>
        </r>
      </text>
    </comment>
    <comment ref="AA1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Z12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מענק מ. הפיס מס' 1211</t>
        </r>
      </text>
    </comment>
    <comment ref="AD1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4.1.22</t>
        </r>
      </text>
    </comment>
    <comment ref="AA1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הלוואות=מימון ביניים .של העירייה. </t>
        </r>
      </text>
    </comment>
  </commentList>
</comments>
</file>

<file path=xl/comments14.xml><?xml version="1.0" encoding="utf-8"?>
<comments xmlns="http://schemas.openxmlformats.org/spreadsheetml/2006/main">
  <authors>
    <author>Gizbarut-Orna Goldfriend</author>
  </authors>
  <commentList>
    <comment ref="AA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T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מ. החינוך רעות</t>
        </r>
      </text>
    </comment>
    <comment ref="AZ1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הרשאה מ. החינוך רעות</t>
        </r>
      </text>
    </comment>
    <comment ref="AJ1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10.7.22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T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החינוך. הקטנת הרשאה הנדיב לא יבוצע.</t>
        </r>
      </text>
    </comment>
    <comment ref="AZ1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החינוך. הקטנת הרשאה הנדיב לא יבוצע.</t>
        </r>
      </text>
    </comment>
    <comment ref="AJ1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5.7.22</t>
        </r>
      </text>
    </comment>
    <comment ref="AA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J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10.7.22</t>
        </r>
      </text>
    </comment>
    <comment ref="AK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30.8.22 מפעל הפיס מענק מס' 914</t>
        </r>
      </text>
    </comment>
    <comment ref="AT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30.8.22 מפעל הפיס מענק מס' 914</t>
        </r>
      </text>
    </comment>
    <comment ref="AZ2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30.8.22 מפעל הפיס מענק מס' 914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J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5.7.22</t>
        </r>
      </text>
    </comment>
    <comment ref="AK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30.8.22 מפעל הפיס מענק מס' 914</t>
        </r>
      </text>
    </comment>
    <comment ref="AT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30.8.22 מפעל הפיס מענק מס' 914</t>
        </r>
      </text>
    </comment>
    <comment ref="AZ2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30.8.22 מפעל הפיס מענק מס' 914</t>
        </r>
      </text>
    </comment>
  </commentList>
</comments>
</file>

<file path=xl/comments15.xml><?xml version="1.0" encoding="utf-8"?>
<comments xmlns="http://schemas.openxmlformats.org/spreadsheetml/2006/main">
  <authors>
    <author>Gizbarut-Orna Goldfriend</author>
  </authors>
  <commentList>
    <comment ref="AD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24.1.22</t>
        </r>
      </text>
    </comment>
    <comment ref="AD9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5.1.22
</t>
        </r>
      </text>
    </comment>
    <comment ref="AA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J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התקבל אישור מענק</t>
        </r>
      </text>
    </comment>
    <comment ref="AT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הפיס. מענק  מס 443-460/22</t>
        </r>
      </text>
    </comment>
    <comment ref="AZ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הפיס. מענק  מס 443-460/22</t>
        </r>
      </text>
    </comment>
  </commentList>
</comments>
</file>

<file path=xl/comments2.xml><?xml version="1.0" encoding="utf-8"?>
<comments xmlns="http://schemas.openxmlformats.org/spreadsheetml/2006/main">
  <authors>
    <author>Gizbarut-Orna Goldfriend</author>
  </authors>
  <commentList>
    <comment ref="K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שלם וביטוח לאומי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</commentList>
</comments>
</file>

<file path=xl/comments3.xml><?xml version="1.0" encoding="utf-8"?>
<comments xmlns="http://schemas.openxmlformats.org/spreadsheetml/2006/main">
  <authors>
    <author>Gizbarut-Orna Goldfriend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3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תוספת הרשאה 16% מסכום 12,931,964 ₪ ו
תוספת בגין אישור הריסה</t>
        </r>
      </text>
    </comment>
    <comment ref="AA5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תוספת  הרשאה לפי חישוב של 16 % על סכום של 17,829,390 ש,ח.
 </t>
        </r>
      </text>
    </comment>
    <comment ref="AA5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שלם 1.5 מלשח וביטוח לאומי 2.2 מלשח</t>
        </r>
      </text>
    </comment>
    <comment ref="AA6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7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8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8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מבני ציבור רשות</t>
        </r>
      </text>
    </comment>
    <comment ref="AA1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מבני ציבור רשות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מבני ציבור רשות הסטת הרשאה. ראה תבר 1908,1911. בנוסף מ. החינוך הרשאה  תיכון</t>
        </r>
      </text>
    </comment>
  </commentList>
</comments>
</file>

<file path=xl/comments4.xml><?xml version="1.0" encoding="utf-8"?>
<comments xmlns="http://schemas.openxmlformats.org/spreadsheetml/2006/main">
  <authors>
    <author>Gizbarut-Orna Goldfriend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3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תוספת הרשאה 16% מסכום 12,931,964 ₪ ו
תוספת בגין אישור הריסה</t>
        </r>
      </text>
    </comment>
    <comment ref="AA5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תוספת  הרשאה לפי חישוב של 16 % על סכום של 17,829,390 ש,ח.
 </t>
        </r>
      </text>
    </comment>
    <comment ref="AA5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שלם 1.5 מלשח וביטוח לאומי 2.2 מלשח</t>
        </r>
      </text>
    </comment>
    <comment ref="AA6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מ. הפנים</t>
        </r>
      </text>
    </comment>
    <comment ref="AA7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מ. החינוך</t>
        </r>
      </text>
    </comment>
    <comment ref="AA8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8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1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מבני ציבור רשות</t>
        </r>
      </text>
    </comment>
    <comment ref="AA11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מבני ציבור רשות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 מבני ציבור רשות הסטת הרשאה. ראה תבר 1908,1911. מ. החינוך הרשאה תיכון</t>
        </r>
      </text>
    </comment>
  </commentList>
</comments>
</file>

<file path=xl/comments5.xml><?xml version="1.0" encoding="utf-8"?>
<comments xmlns="http://schemas.openxmlformats.org/spreadsheetml/2006/main">
  <authors>
    <author>Gizbarut-Orna Goldfriend</author>
  </authors>
  <commentList>
    <comment ref="AA3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 2 הרשאות מעלית 496 אלשח ובניה ללא הצטיידות </t>
        </r>
      </text>
    </comment>
    <comment ref="AA7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A8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  <comment ref="AA8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 הרשאות מ. הספורט</t>
        </r>
      </text>
    </comment>
    <comment ref="AA8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10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 אישור עקרוני . אין עדיין התחייבות.</t>
        </r>
      </text>
    </comment>
    <comment ref="AA10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 אישור עקרוני . אין עדיין התחייבות.</t>
        </r>
      </text>
    </comment>
    <comment ref="AA10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</commentList>
</comments>
</file>

<file path=xl/comments6.xml><?xml version="1.0" encoding="utf-8"?>
<comments xmlns="http://schemas.openxmlformats.org/spreadsheetml/2006/main">
  <authors>
    <author>Gizbarut-Orna Goldfriend</author>
  </authors>
  <commentList>
    <comment ref="AA3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 2 הרשאות מעלית 496 אלשח ובניה ללא הצטיידות </t>
        </r>
      </text>
    </comment>
    <comment ref="AA76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A87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2 הרשאות מ. הספורט</t>
        </r>
      </text>
    </comment>
    <comment ref="AA88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103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 אישור עקרוני . אין עדיין התחייבות.</t>
        </r>
      </text>
    </comment>
    <comment ref="AA104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 אישור עקרוני . אין עדיין התחייבות.</t>
        </r>
      </text>
    </comment>
  </commentList>
</comments>
</file>

<file path=xl/comments7.xml><?xml version="1.0" encoding="utf-8"?>
<comments xmlns="http://schemas.openxmlformats.org/spreadsheetml/2006/main">
  <authors>
    <author>Gizbarut-Orna Goldfriend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המדע</t>
        </r>
      </text>
    </comment>
    <comment ref="AA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גני השמעוני 2022/01/090 ' 2022/01/089</t>
        </r>
      </text>
    </comment>
  </commentList>
</comments>
</file>

<file path=xl/comments8.xml><?xml version="1.0" encoding="utf-8"?>
<comments xmlns="http://schemas.openxmlformats.org/spreadsheetml/2006/main">
  <authors>
    <author>Gizbarut-Orna Goldfriend</author>
  </authors>
  <commentList>
    <comment ref="AA15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</commentList>
</comments>
</file>

<file path=xl/comments9.xml><?xml version="1.0" encoding="utf-8"?>
<comments xmlns="http://schemas.openxmlformats.org/spreadsheetml/2006/main">
  <authors>
    <author>Gizbarut-Orna Goldfriend</author>
  </authors>
  <commentList>
    <comment ref="AA21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מ.הגנת הסביבה</t>
        </r>
      </text>
    </comment>
    <comment ref="AA22" authorId="0" shapeId="0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</commentList>
</comments>
</file>

<file path=xl/sharedStrings.xml><?xml version="1.0" encoding="utf-8"?>
<sst xmlns="http://schemas.openxmlformats.org/spreadsheetml/2006/main" count="3923" uniqueCount="1534">
  <si>
    <t>מס' סידורי</t>
  </si>
  <si>
    <t>מס' תב"ר</t>
  </si>
  <si>
    <t>שם תב"ר</t>
  </si>
  <si>
    <t>אומדן כולל לפרוקט</t>
  </si>
  <si>
    <t>אומדן מאושר במועצה</t>
  </si>
  <si>
    <t>תוספת לאומדן לאישור המועצה</t>
  </si>
  <si>
    <t xml:space="preserve">תקציב מאושר </t>
  </si>
  <si>
    <t>ביצוע בפועל</t>
  </si>
  <si>
    <t>שריון מערך הרכש</t>
  </si>
  <si>
    <t>שריון מערך חוזים</t>
  </si>
  <si>
    <t>סה"כ שריון התחייבויות</t>
  </si>
  <si>
    <t>סה"כ ביצוע</t>
  </si>
  <si>
    <t>יתרת תקציב</t>
  </si>
  <si>
    <t>קרן עבודות פיתוח</t>
  </si>
  <si>
    <t>קרן עודפי תקציב רגיל</t>
  </si>
  <si>
    <t>קרן רכוש</t>
  </si>
  <si>
    <t>פרק תב"ר</t>
  </si>
  <si>
    <t>תכנון מתחם הר' 2200</t>
  </si>
  <si>
    <t>תב"עות קטנות</t>
  </si>
  <si>
    <t>תמ"א 38</t>
  </si>
  <si>
    <t>תכנון פרויקטים פינוי בינוי</t>
  </si>
  <si>
    <t>התחדשות עירונית</t>
  </si>
  <si>
    <t>פינוי בינוי מעונות שרה</t>
  </si>
  <si>
    <t>מתחם הבריגדה מתחם הר' 1960</t>
  </si>
  <si>
    <t>מחלף הרב מכר</t>
  </si>
  <si>
    <t>פיתוח מתחם אלוני ים הר' 2030</t>
  </si>
  <si>
    <t>רח' ז'בוטינסקי אלתרמן הבריגדה</t>
  </si>
  <si>
    <t>פיתוח מתחם "מרינה לי"</t>
  </si>
  <si>
    <t>מרכז תחבורה חדש</t>
  </si>
  <si>
    <t>יעודי קרקע -מפת בסיס</t>
  </si>
  <si>
    <t>עבודות ניקוז בעיר</t>
  </si>
  <si>
    <t>עבודות פיתוח ותשתיות קטנות</t>
  </si>
  <si>
    <t>פרויקטים תחבורתיים בעיר</t>
  </si>
  <si>
    <t>תכנונים כלליים</t>
  </si>
  <si>
    <t>השלמת מבנה העיריה החדש</t>
  </si>
  <si>
    <t>מתחם נוף ים פיתוח</t>
  </si>
  <si>
    <t>ליווי תשתיות לאומיות</t>
  </si>
  <si>
    <t>פתוח קטעי רח' דרך ירושלים גולומב</t>
  </si>
  <si>
    <t>העתקות פרויקטים שונים</t>
  </si>
  <si>
    <t>חיבור גשר הולכי רגל כביש 20</t>
  </si>
  <si>
    <t>מערכת בקרת רמזורים</t>
  </si>
  <si>
    <t>החלפת מדרכות</t>
  </si>
  <si>
    <t>רח' גבעת החלומות פיתוח</t>
  </si>
  <si>
    <t>ספורטק שלב ג'</t>
  </si>
  <si>
    <t>הוצאות בקשר עם תביעות סעיף 197</t>
  </si>
  <si>
    <t>פיתוח פארק שלב ג'</t>
  </si>
  <si>
    <t>הוצאות אכיפה-דירות נופש במרינה</t>
  </si>
  <si>
    <t>תכנון ייעוץ הנדסי "סל"</t>
  </si>
  <si>
    <t>שיפוץ מבני דת ציבוריים</t>
  </si>
  <si>
    <t>עבודות שונות בפארק הרצליה</t>
  </si>
  <si>
    <t>שדרוג מקלטים ציבוריים</t>
  </si>
  <si>
    <t>גידור שיפוץ גדרות מ.ספורט</t>
  </si>
  <si>
    <t>הצטידות כיתות חדשות בי"ס</t>
  </si>
  <si>
    <t>מדידות נכסים לחיוב היטלי פיתוח</t>
  </si>
  <si>
    <t>בדיקות חיוב להיטלי פיתוח</t>
  </si>
  <si>
    <t>הפרשה בגין תביעות תלויות</t>
  </si>
  <si>
    <t>הלוואה לטובת אוצר המדינה</t>
  </si>
  <si>
    <t>יער עירוני וגינות קהילתיות</t>
  </si>
  <si>
    <t>הטמעת עקרונות הקיימות בחינוך</t>
  </si>
  <si>
    <t>שדרוג מערכות הליבה</t>
  </si>
  <si>
    <t>שיפוץ דירות עמידר</t>
  </si>
  <si>
    <t>חזיתות בתים שיפוץ</t>
  </si>
  <si>
    <t>פצוי והפקעה ב-6525/6 הר' 1704</t>
  </si>
  <si>
    <t>בית הרמלין-חלקה 92-גוש 6592</t>
  </si>
  <si>
    <t>פיצויי הפקעה - פארק הבאסה</t>
  </si>
  <si>
    <t>עלויות רכישת מקרקעין</t>
  </si>
  <si>
    <t>פיצויי הפקעה הר'1941 פארק הבאסה</t>
  </si>
  <si>
    <t>תביעה פינוי גוש 6521 רחמים</t>
  </si>
  <si>
    <t>הקמת גינות לכלבים</t>
  </si>
  <si>
    <t>סככות הצללה לגני משחקים</t>
  </si>
  <si>
    <t>נטיעת עצים ברחבי העיר</t>
  </si>
  <si>
    <t>סקר עצים מסוכנים ברחבי העיר</t>
  </si>
  <si>
    <t>פיתוח מתחם המסילה ודב הוז</t>
  </si>
  <si>
    <t>בית העלמין החדש</t>
  </si>
  <si>
    <t>עבודות פיתוח קטנות</t>
  </si>
  <si>
    <t>מתחם זרובבל</t>
  </si>
  <si>
    <t>סה"כ החברה לפיתוח הרצליה</t>
  </si>
  <si>
    <t>תב"ע חוף הים</t>
  </si>
  <si>
    <t>קע"פ</t>
  </si>
  <si>
    <t>אחרים</t>
  </si>
  <si>
    <t>חופים</t>
  </si>
  <si>
    <t>איכות הסביבה</t>
  </si>
  <si>
    <t>מרכיבי העלות</t>
  </si>
  <si>
    <t>מקורות מימון לפרויקט</t>
  </si>
  <si>
    <t>אומדן כולל לפרויקט</t>
  </si>
  <si>
    <t>תוספת לאומדן  לאישור מועצה</t>
  </si>
  <si>
    <t xml:space="preserve">יתרת תקציב 
</t>
  </si>
  <si>
    <t>החברה לפיתוח התיירות</t>
  </si>
  <si>
    <t>סה"כ</t>
  </si>
  <si>
    <t>קרן עודפי ת.ר.</t>
  </si>
  <si>
    <t xml:space="preserve">יתרת מקורות מימון </t>
  </si>
  <si>
    <t>הפרש עודף (חוסר)</t>
  </si>
  <si>
    <t xml:space="preserve">תקציב מאושר  </t>
  </si>
  <si>
    <t>צפון הרצליה הר' 2035</t>
  </si>
  <si>
    <t>פיתוח מתחם המכללות הר' 1920/1</t>
  </si>
  <si>
    <t>פתוח מתחם הר' 1972 תחנה מרכזית</t>
  </si>
  <si>
    <t>שיקום האגם בפארק</t>
  </si>
  <si>
    <t>החברה לפיתוח התיירות הרצליה</t>
  </si>
  <si>
    <t>שיפוץ ובינוי נכסים עירוניים כולל תשתיות</t>
  </si>
  <si>
    <t>תב"ע קרית השחקים</t>
  </si>
  <si>
    <t>שביל אופניים הרצליה-ת"א הפקעות</t>
  </si>
  <si>
    <t>הקמת גינות בי"ס קהילתיות</t>
  </si>
  <si>
    <t>מתנ"ס נווה ישראל</t>
  </si>
  <si>
    <t>פינוי בינוי מול התחנה</t>
  </si>
  <si>
    <t>פיתוח מתחם הר' 1903</t>
  </si>
  <si>
    <t>שימור אתרים</t>
  </si>
  <si>
    <t xml:space="preserve">פינוי בינוי צומת כדורי </t>
  </si>
  <si>
    <t>שצ"פ מערב קיר אקוסטי גליל ים ב'</t>
  </si>
  <si>
    <t>אולם ספורט חטיבת זאב</t>
  </si>
  <si>
    <t>חניונים הר'1900 -שינוי תב"ע</t>
  </si>
  <si>
    <t>פיתוח גליל ים ב'</t>
  </si>
  <si>
    <t>עבודות הרחבה התאמה איצטדיון</t>
  </si>
  <si>
    <t>שיפוץ ותוספת בניה בי"ס בר אילן</t>
  </si>
  <si>
    <t>שיפוץ בי"ס מפתן ארז</t>
  </si>
  <si>
    <t>התקנת מעלית בי"ס שז"ר</t>
  </si>
  <si>
    <t>מע. תאורה LED ברחבי העיר</t>
  </si>
  <si>
    <t>הצטיידות גנ"י חדשים ח"ר,ח"מ</t>
  </si>
  <si>
    <t>תב"ע מרינה</t>
  </si>
  <si>
    <t>תוכנית שיווק והפרדת פסולת</t>
  </si>
  <si>
    <t>פרויקט תכסיות וניתוח מרחבי</t>
  </si>
  <si>
    <t>גן 3 כיתות 401 גליל ים ב'</t>
  </si>
  <si>
    <t>כיתות מעון וגן שטח 303 גליל ים א'</t>
  </si>
  <si>
    <t>נגישות לאנשים עם מוגבלויות</t>
  </si>
  <si>
    <t>התאמות נגישות מוסדות חינוך</t>
  </si>
  <si>
    <t>שדרוג המרחב הציבורי</t>
  </si>
  <si>
    <t>רכישת מיכלי אצירה לפסולת ומיחזור</t>
  </si>
  <si>
    <t>שילוט ברחבי העיר</t>
  </si>
  <si>
    <t>פיצויי הפקעה פטריאלי 6524/21,22</t>
  </si>
  <si>
    <t>גשר מעל כביש 20</t>
  </si>
  <si>
    <t>גשר הולכי רגל מעל שבעת הכוכבים</t>
  </si>
  <si>
    <t xml:space="preserve">שיפוצים שונים מוס"ח </t>
  </si>
  <si>
    <t>מתחם גליל ים</t>
  </si>
  <si>
    <t>שריון מערך רכש</t>
  </si>
  <si>
    <t>בניית בי"ס ברחוב משה (ירוק)</t>
  </si>
  <si>
    <t>ציפוי מגרשי ספורט</t>
  </si>
  <si>
    <t>בניה עצמית ליד המתחם הבינתחומי</t>
  </si>
  <si>
    <t>ü</t>
  </si>
  <si>
    <t>הצבת קולרים ברחבי העיר</t>
  </si>
  <si>
    <t>סככות צל חוף הכוכבים 2017</t>
  </si>
  <si>
    <t>הכשרת חניון העוגן</t>
  </si>
  <si>
    <t xml:space="preserve">אגף חינוך </t>
  </si>
  <si>
    <t>3.6</t>
  </si>
  <si>
    <t>קרנות הרשות - צפי תנועה באלפי ₪</t>
  </si>
  <si>
    <t>תאור</t>
  </si>
  <si>
    <t>מקורות</t>
  </si>
  <si>
    <t>יתרה צפויה 1.1</t>
  </si>
  <si>
    <t xml:space="preserve">היטלי השבחה ופיתוח שנה שוטפת </t>
  </si>
  <si>
    <t xml:space="preserve">העמקת גביה מהיטלי פיתוח שנה שוטפת </t>
  </si>
  <si>
    <t>סה"כ מקורות</t>
  </si>
  <si>
    <t>שימושים</t>
  </si>
  <si>
    <t>השתתפות בפרעון מילוות מים,ביוב ופיתוח</t>
  </si>
  <si>
    <t>השתתפות בשכ"ע הנדסה לפיתוח ותכנון</t>
  </si>
  <si>
    <t>מימון תקציב בלתי רגיל</t>
  </si>
  <si>
    <t>סה"כ שימושים</t>
  </si>
  <si>
    <t>1.</t>
  </si>
  <si>
    <t>מבוא</t>
  </si>
  <si>
    <t xml:space="preserve">רקע : </t>
  </si>
  <si>
    <t xml:space="preserve">התקציב הבלתי רגיל (תב"ר) מהווה מסגרת תקציבית שנועדה בעיקר לביצוע פרויקטים  של עבודות  </t>
  </si>
  <si>
    <t>מקורות המימון לתב"ר הינם :</t>
  </si>
  <si>
    <t>מענקים ממקורות שלטוניים ובעיקר ממשרדי ממשלה.</t>
  </si>
  <si>
    <t xml:space="preserve">מקורות עצמיים של הרשות הכוללים היטלי השבחה , היטלי פיתוח , העברות מתקציב רגיל, </t>
  </si>
  <si>
    <t>תרומות, מימוש נכסים.</t>
  </si>
  <si>
    <t>הלוואות לזמן ארוך.</t>
  </si>
  <si>
    <t xml:space="preserve">אישור התקציב הבלתי רגיל : </t>
  </si>
  <si>
    <t xml:space="preserve">על פי הוראות משרד הפנים ,לכל פרויקט יש לקבוע את היקף ההשקעה ומקורות המימון. </t>
  </si>
  <si>
    <t>ב – 16.3.2014 הכריז משרד הפנים על עיריית הרצליה כעל עירייה איתנה.</t>
  </si>
  <si>
    <t>חברי וועדת הכספים/מועצת העיר מתבקשים לאשר בזאת :</t>
  </si>
  <si>
    <t xml:space="preserve">באלפי ₪ </t>
  </si>
  <si>
    <t>מתוך אומדן כולל של הפרויקטים בסכום של</t>
  </si>
  <si>
    <t>2.</t>
  </si>
  <si>
    <t>מקורות המימון באלפי ₪ היו כדלקמן -</t>
  </si>
  <si>
    <t>קרן מכירת רכוש</t>
  </si>
  <si>
    <t>משרדי ממשלה ואחרים</t>
  </si>
  <si>
    <t>סה"כ תקציב</t>
  </si>
  <si>
    <t xml:space="preserve">משרדי ממשלה ואחרים </t>
  </si>
  <si>
    <t>אחוז ביצוע</t>
  </si>
  <si>
    <t xml:space="preserve">סה"כ </t>
  </si>
  <si>
    <t>הצעת התקציב הבלתי רגיל מסתכמת בהשקעה של</t>
  </si>
  <si>
    <t>3.</t>
  </si>
  <si>
    <t>שם פרק</t>
  </si>
  <si>
    <t>החברה לפיתוח הרצליה</t>
  </si>
  <si>
    <t>אומדן מקורות המימון  באלפי ₪  מפורט להלן -</t>
  </si>
  <si>
    <t>מקור</t>
  </si>
  <si>
    <t>קרן לעבודות פיתוח</t>
  </si>
  <si>
    <t>סה"כ משרדי ממשלה ואחרים</t>
  </si>
  <si>
    <t>סעיף מימון משרדי ממשלה ואחרים מפורט בטבלה להלן – באלפי ₪ (*)</t>
  </si>
  <si>
    <t>משרד התחבורה</t>
  </si>
  <si>
    <t>משרד החינוך</t>
  </si>
  <si>
    <t>משרד הבינוי והשיכון</t>
  </si>
  <si>
    <t>רשות מינהל מקרקעי ישראל</t>
  </si>
  <si>
    <t>מפעל הפייס</t>
  </si>
  <si>
    <t>הכנסות בעד עבודות</t>
  </si>
  <si>
    <t>(*)</t>
  </si>
  <si>
    <t xml:space="preserve"> תקצוב הפרויקטים נשוא מימון משרדי ממשלה ואחרים כמפורט לעיל מותנה בקבלת מסמך </t>
  </si>
  <si>
    <t>התחייבות כספית חתום על ידי מורשי חתימה של הגורם המממן.</t>
  </si>
  <si>
    <t>פרויקטים בביצוע החברה לפיתוח</t>
  </si>
  <si>
    <t xml:space="preserve">בהתאם לתוספת להסכם מסגרת לביצוע פרויקטים הנדסיים בין העירייה לחברה לפיתוח הרצליה </t>
  </si>
  <si>
    <t xml:space="preserve">מיום 10.4.2005, יש לאשר במועצת העיר את ביצוע הפרויקטים  שהיקפם עולה על ערך הסף.  </t>
  </si>
  <si>
    <t>מקורות מימון אחרים - פרוט</t>
  </si>
  <si>
    <t>אגף/מחלקה</t>
  </si>
  <si>
    <t>המשרד להגנת הסביבה</t>
  </si>
  <si>
    <t xml:space="preserve">הכנסות בעד עבודות </t>
  </si>
  <si>
    <t xml:space="preserve">החברה לפיתוח הרצליה </t>
  </si>
  <si>
    <t>רשות  מקרקעי ישראל</t>
  </si>
  <si>
    <t>תוכן</t>
  </si>
  <si>
    <t>עמודים</t>
  </si>
  <si>
    <t>ריכוזים ודברי הסבר</t>
  </si>
  <si>
    <t>מימוש תקציב</t>
  </si>
  <si>
    <t>מרץ</t>
  </si>
  <si>
    <t>אפריל</t>
  </si>
  <si>
    <t>נכסים ציבוריים</t>
  </si>
  <si>
    <t>נכסים</t>
  </si>
  <si>
    <t>תכנון בנין עיר</t>
  </si>
  <si>
    <t>מינהל כללי</t>
  </si>
  <si>
    <t>שרותים עירוניים שונים</t>
  </si>
  <si>
    <t>מבני דת ציבוריים</t>
  </si>
  <si>
    <t>עלויות</t>
  </si>
  <si>
    <t>תקציב</t>
  </si>
  <si>
    <t>ועדת כספים</t>
  </si>
  <si>
    <t>מועצה</t>
  </si>
  <si>
    <t>אומדן כולל לפרויקט
מעודכן</t>
  </si>
  <si>
    <t>אומדן מאושר בתוכנית הפיתוח</t>
  </si>
  <si>
    <t>תוספת אומדן לאישור המועצה מעבר לתוכנית הפיתוח</t>
  </si>
  <si>
    <t>סה"כ החברה לתיירות</t>
  </si>
  <si>
    <t>שיפוץ אולם ספורט היובל</t>
  </si>
  <si>
    <t>קרן ייעודית</t>
  </si>
  <si>
    <t>קרן יעודית  מתחם גליל ים</t>
  </si>
  <si>
    <t>סמטת ניסנוב</t>
  </si>
  <si>
    <t>ריכוז</t>
  </si>
  <si>
    <t xml:space="preserve">החברה לפיתוח התיירות הרצליה     </t>
  </si>
  <si>
    <t xml:space="preserve">אגף תקשוב ומערכות מידע     </t>
  </si>
  <si>
    <t>מקורות מימון לפרויקטים :</t>
  </si>
  <si>
    <t>מקורות מימון</t>
  </si>
  <si>
    <t>סכום</t>
  </si>
  <si>
    <t>אחוז</t>
  </si>
  <si>
    <t>פרויקט</t>
  </si>
  <si>
    <t xml:space="preserve">מתחם גליל ים </t>
  </si>
  <si>
    <t xml:space="preserve">פרויקטים שונים </t>
  </si>
  <si>
    <t xml:space="preserve">מתוכם העיקריים : </t>
  </si>
  <si>
    <t>קרן ייעודית גליל ים</t>
  </si>
  <si>
    <t>אגף חינוך</t>
  </si>
  <si>
    <t>החברה לפיתוח התיירות בהרצליה</t>
  </si>
  <si>
    <t>מתוקצב כולו מקרן עבודות פיתוח.</t>
  </si>
  <si>
    <t>וסכומי התקציב, הנדרש, אם בכלל, אינם ידועים מראש ותלויים לעיתים בהליכים משפטיים.</t>
  </si>
  <si>
    <t>אגף תקשוב  ומערכות מידע</t>
  </si>
  <si>
    <t>תיכון ראשונים</t>
  </si>
  <si>
    <t>ריכוז לפי פרקים</t>
  </si>
  <si>
    <t>העברה מעודפי תקציב רגיל שנים קודמות</t>
  </si>
  <si>
    <t xml:space="preserve">התקנת מערך שליטה ובקרה מצלמות מוסדות חינוך ומבני ציבור, פריסת תשתיות </t>
  </si>
  <si>
    <t>פרויקטים דחופים בלתי צפויים מראש/מימוני ביניים.</t>
  </si>
  <si>
    <t>פרק</t>
  </si>
  <si>
    <t>פרויקטים לביצוע ע"י החברה לפיתוח הרצליה</t>
  </si>
  <si>
    <t>מדידת נכסים בעת ביצוע עב' פיתוח לצורך חיוב הנכסים עפ"י שטחם בפועל.</t>
  </si>
  <si>
    <t>בדיקת תשלומי היטלי פיתוח בגין נכסים בעת ביצוע עב' פיתוח.</t>
  </si>
  <si>
    <t>עלויות כלליות בקשר עם רכישת מקרקעין.</t>
  </si>
  <si>
    <t>פיצויי הפקעה נכס גוש 6524/21,22 פטריאלי.</t>
  </si>
  <si>
    <t>קרן ייעודית מתחם גליל ים</t>
  </si>
  <si>
    <t>תאור הפרויקט</t>
  </si>
  <si>
    <t>סל עבודות ניקוז ברחבי העיר .</t>
  </si>
  <si>
    <t>תב"ע הר' 2394 (לשעבר הר  2159 )</t>
  </si>
  <si>
    <t>חיבור פארק שלב ב' עם שכונת המסילה בגשר הולכי רגל מעל כביש 20.</t>
  </si>
  <si>
    <t>שדרות ה - 93 הבאר</t>
  </si>
  <si>
    <t>נילי - עבודות פיתוח והסדרת תנועה</t>
  </si>
  <si>
    <t>רחוב הפרטיזנים</t>
  </si>
  <si>
    <t>שיכון דרום הר' 2312</t>
  </si>
  <si>
    <t>הר מירון בר כוכבא הר' 2266</t>
  </si>
  <si>
    <t>ביצוע הריסות עפ"י צווים</t>
  </si>
  <si>
    <t>תוכנית מתאר איזור התעסוקה הר/2440</t>
  </si>
  <si>
    <t>שצ"פ דליה רביקוביץ בשכונת אלתרמן (הר/1920)</t>
  </si>
  <si>
    <t>שביל מתחם העצמאות הרב גורן הבנים</t>
  </si>
  <si>
    <t>עבודות פיתוח מערך שבילים בין הרחובות העצמאות הרב גורן ורחוב הבנים.</t>
  </si>
  <si>
    <t>סל עבודות קטנות עפ"י דרישה.</t>
  </si>
  <si>
    <t>סל עבודות תכנון עפ"י דרישה.</t>
  </si>
  <si>
    <t>מתחם קמפוס הרצליה (יד גיורא)</t>
  </si>
  <si>
    <t>החלפת עמודי תאורה באיזור תעשיה</t>
  </si>
  <si>
    <t>גנ"י מרכז ויצמן תמר תאנה</t>
  </si>
  <si>
    <t>עבודות פיתוח בכנ"ס אברהם אבינו</t>
  </si>
  <si>
    <t>שיפוץ בית הורים</t>
  </si>
  <si>
    <t>בית ספר בן גוריון</t>
  </si>
  <si>
    <t>סינמטק בבנין עיריה חדש</t>
  </si>
  <si>
    <t xml:space="preserve">כיתות מעון 5 יום 5 כיתות גן-. 404 גליל ים ב' </t>
  </si>
  <si>
    <t>גן 3 כיתות 402 גליל ים ב'(כולל חניון)</t>
  </si>
  <si>
    <t>בית ספר יסודי 18 כיתות מגרש 304 גלילי ים א'</t>
  </si>
  <si>
    <t>סה"כ פרויקטים מתחם גליל ים</t>
  </si>
  <si>
    <t>סל לשיפוץ בתי כנסת ע"פ תוכנית שתוגש במהלך השנה.</t>
  </si>
  <si>
    <t>סל לשיפוץ ובינוי נכסים עירוניים.</t>
  </si>
  <si>
    <t>שדרוג כבישים מדרכות תשתיות</t>
  </si>
  <si>
    <t>עבודות שיקום לשיפור איכות ומראה המים באגם.</t>
  </si>
  <si>
    <t>שיפוץ מעבדת רובוטיקה בהנדסאים</t>
  </si>
  <si>
    <t>תוספת כיתות /חדרי ספח ברנדיס</t>
  </si>
  <si>
    <t>ספירת מלאי וסימון הרכוש העירוני</t>
  </si>
  <si>
    <t>הקמת חפ"ק עירוני חדש</t>
  </si>
  <si>
    <t>הצטיידות בר אילן לאחר שיפוץ</t>
  </si>
  <si>
    <t>הצטיידות בי"ס בר אילן אחרי השיפוץ.</t>
  </si>
  <si>
    <t>הצטיידות בי"ס יצחק נבון אלתרמן</t>
  </si>
  <si>
    <t>נגישות אקוסטית מ.החינוך 2017</t>
  </si>
  <si>
    <t>סדנת רובוטיקה בהנדסאים</t>
  </si>
  <si>
    <t>מרחבי למידה</t>
  </si>
  <si>
    <t>עבודות שונות,שיפוצים, ציוד בספריות, מרכזים קהילתיים, מוזיאונים.לפי פרוט.</t>
  </si>
  <si>
    <t>הצטיידות מבנה תרבות מערב העיר</t>
  </si>
  <si>
    <t xml:space="preserve">שיקום שדרוג,הקמה ונגישות גינות ציבוריות </t>
  </si>
  <si>
    <t>ספורטק חידוש מתחם מתקני משחק</t>
  </si>
  <si>
    <t>סקר טבע עירוני</t>
  </si>
  <si>
    <t>תחנת הצלה חוף הכוכבים 2017</t>
  </si>
  <si>
    <t>ציוד הצלה ובטיחות 2018</t>
  </si>
  <si>
    <t>תשתיות תקשורת אלחוטית וסיבים אופטיים לעיר חכמה במוס"ח וברחבי העיר בהתאם לתוכנית רב שנתית.</t>
  </si>
  <si>
    <t xml:space="preserve">תשתיות פס רחב מוס"ח </t>
  </si>
  <si>
    <t>פיצויי הפקעה הר' 1940 6664/105</t>
  </si>
  <si>
    <t>סה"כ אגף חינוך</t>
  </si>
  <si>
    <t>שיפוץ פנים הדירות של דיירי עמידר הנמצאים במצב סוציו אוקונומי קשה. העבודה מבוצעת ע"י חברת עמידר השתתפות העיריה 50%.</t>
  </si>
  <si>
    <t>פיצויי הפקעה בגוש 6525/6 הר/ 1704. טרם שולמו הפיצויים ליתרת בעלי המקרקעין.</t>
  </si>
  <si>
    <t>עלויות בקשר עם תביעה של פינוי נכס גוש 6521 חלק' 21-23, 67-68. משפחת רחמים. טרם הסתיים ההליך המשפטי.</t>
  </si>
  <si>
    <t>פרויקט בניה עצמית בו לעיריה 3 יח"ד בבית מגורים משותף.</t>
  </si>
  <si>
    <t>אגף  נכסים וביטוח</t>
  </si>
  <si>
    <t>אגף ת.נ.ו.ס</t>
  </si>
  <si>
    <t xml:space="preserve">שדרוג המרחב הציבורי באיזור התעשיה </t>
  </si>
  <si>
    <t>עבודות פיתוח ביכנ"ס "אברהם אבינו" בשכונת יד התשעה.</t>
  </si>
  <si>
    <t>סה"כ אגף נכסים וביטוח</t>
  </si>
  <si>
    <t>תוכנית הצטיידות  מיחשוב מוס"ח</t>
  </si>
  <si>
    <t>אגף תקשוב ומע. מידע</t>
  </si>
  <si>
    <t>סה"כ מינהל כללי</t>
  </si>
  <si>
    <t>אגף נכסים וביטוח</t>
  </si>
  <si>
    <t>אגף תקשוב ומערכות מידע</t>
  </si>
  <si>
    <t>פרויקט המושתת על מערכת GIS: שדרוג, הרחבת שרתים,תוספות לאפליקציות חדשות.</t>
  </si>
  <si>
    <t>הקרן לשמירה על שטחים פתוחים</t>
  </si>
  <si>
    <t>סל הוצאות בקשר עם תביעות סעיף 197.</t>
  </si>
  <si>
    <t>תב"ע תוכנית שיקום המסילה המתפנה הר '2435</t>
  </si>
  <si>
    <t>פרויקטים דחופים בצ"מ 2019/2020</t>
  </si>
  <si>
    <t>הפרשה לתביעות תלויות בעקבות הנחיית אגף הביקורת של משה"פ במסגרת הדוחות הכספיים.</t>
  </si>
  <si>
    <t>במסגרת סיכום עקרונות בין משרד האוצר לשלטון המקומי  מ - 12.5.2013.</t>
  </si>
  <si>
    <t>טרם הסתיים הליך רישום הנכס ע"ש העיריה בפנקסי הרישום.</t>
  </si>
  <si>
    <t>פיצויי הפקעה בפארק.</t>
  </si>
  <si>
    <t>פיצויי הפקעה בפארק תוכנית הר' 1941.</t>
  </si>
  <si>
    <t>תשלום פיצויי הפקעה בקשר עם תוכנית  הר' 1940 6664/105.</t>
  </si>
  <si>
    <t>הכנת תוכנית לצרכי רישום מתחם מלון דניאל.</t>
  </si>
  <si>
    <t>סה"כ אגף תקשוב ומערכות מידע</t>
  </si>
  <si>
    <t>שדרוג תשתיות אינטרנט במוס"ח.</t>
  </si>
  <si>
    <t>סה"כ מינהל הנדסה</t>
  </si>
  <si>
    <t xml:space="preserve">מינהל  הנדסה </t>
  </si>
  <si>
    <t>מינהל הנדסה</t>
  </si>
  <si>
    <t>סל עבודות פיתוח קטנות מזדמנות הנדרשות במהלך השנה.</t>
  </si>
  <si>
    <t>עלויות אכיפה צווי בית משפט במרינה.</t>
  </si>
  <si>
    <t>סה"כ אגף ת.נ.ו.ס</t>
  </si>
  <si>
    <t>הארכת דרך ירושלים והתחברות אליה</t>
  </si>
  <si>
    <t>צומת הבריגדה היהודית -מנחם בגין- בטיחות</t>
  </si>
  <si>
    <t>תכנון צומת הבריגדה היהודית -מנחם בגין עקב ריבוי תאונות דרכים עפ"י נתוני הרלב"ד. מימון מ. התחבורה.</t>
  </si>
  <si>
    <t>תקשורת ברחבי העיר ומוסדות חינוך, תוכנית הצטיידות מיחשוב מוסדות חינוך.</t>
  </si>
  <si>
    <t>תב"ע משולש המנהרה הר' 2350</t>
  </si>
  <si>
    <t>לאור החלטת בימ"ש שהעיריה תבצע שינויים גיאומטרים וקיר.</t>
  </si>
  <si>
    <t>תכנון צומת השרון בר אילן  עקב ריבוי תאונות דרכים עפ"י נתוני הרלב"ד. מימון מ. התחבורה.</t>
  </si>
  <si>
    <t xml:space="preserve">שיפוץ אולם ספורט היובל כולל פיתוח המבואה והמתחם. </t>
  </si>
  <si>
    <t>עבודות פיתוח. מימון רמ"י במסגרת הסכם "הגג".</t>
  </si>
  <si>
    <t>הקמת בריכה ומרכז לאומנויות לחימה</t>
  </si>
  <si>
    <t>פיתוח מתחם מתנ"ס נווה עמל ומגרשי טניס</t>
  </si>
  <si>
    <t>קירוי והצללה מגרשי ספורט עירוניים</t>
  </si>
  <si>
    <t>השקעה בתשתיות והרחבת  חניונים</t>
  </si>
  <si>
    <t>מימון רמ"י במסגרת הסכם "הגג".</t>
  </si>
  <si>
    <t>פרויקט לווינים - ישראל 70</t>
  </si>
  <si>
    <t>פרויקט שיגור 70 לווינים בשיתוף עם 70 ערים ומועצות עירוניות. מימון מ. המדע.</t>
  </si>
  <si>
    <t>הקמה שיפוץ רצפות פרקט אולמות ספורט</t>
  </si>
  <si>
    <t>עבודות התאמה לתקן חדש מגרשי ספורט</t>
  </si>
  <si>
    <t>עבודות שיפוץ במתקנים במגרשי הספורט בהתאם לדוחות מכון התקנים.</t>
  </si>
  <si>
    <t>תוכנית  אב להפחתת זיהום אויר</t>
  </si>
  <si>
    <t>הסדרת הגן המרכזי בשכונת גן רש"ל כולל: מתקני משחק, משטח גומי, עבודות גינון, השקייה, פיתוח והנגשה.</t>
  </si>
  <si>
    <t>הכנת תב"ע .</t>
  </si>
  <si>
    <t>פריסת תשתיות תקשורת ברחבי העיר ומוס"ח</t>
  </si>
  <si>
    <t>הקמת אתר עירוני חדש מתקדם , ידידותי ומותאם לכלל הצרכים העירוניים כולל מימשקים לתושבים ומימשקים למערכות התפעוליות . האתר יהיה רספונסיבי  בנוסף מתן מענה לפורטל האירגוני על בסיס אותה תשתית.</t>
  </si>
  <si>
    <t>הכנת תצ"ר רישום זכויות תבע 574א</t>
  </si>
  <si>
    <t>מינהל כללי (61)</t>
  </si>
  <si>
    <t>תכנון ובנין עיר (73)</t>
  </si>
  <si>
    <t>נכסים ציבוריים (74)</t>
  </si>
  <si>
    <t>חופים (747)</t>
  </si>
  <si>
    <t>חינוך (81)</t>
  </si>
  <si>
    <t>מבני דת ציבוריים (85)</t>
  </si>
  <si>
    <t>איכות הסביבה (87)</t>
  </si>
  <si>
    <t>מס' פרק</t>
  </si>
  <si>
    <t>רווחה (84)</t>
  </si>
  <si>
    <t>נכסים (93)</t>
  </si>
  <si>
    <t>תשלומים בלתי רגילים (99)</t>
  </si>
  <si>
    <t>טיפול במרחב ציבורי (848)</t>
  </si>
  <si>
    <t>טיפול במרחב ציבורי</t>
  </si>
  <si>
    <t xml:space="preserve">תרבות הדיור </t>
  </si>
  <si>
    <t xml:space="preserve">ראה פרוט נוסף בעמוד 15 </t>
  </si>
  <si>
    <t xml:space="preserve">אגף נכסים וביטוח </t>
  </si>
  <si>
    <t xml:space="preserve">אגף תקשוב ומערכות מידע </t>
  </si>
  <si>
    <t>תרבות הדיור (764)</t>
  </si>
  <si>
    <t>השקעה בתשתיות ובמערכות מיכון בחניונים ברחבי העיר.</t>
  </si>
  <si>
    <t xml:space="preserve">אגף נכסים וביטוח         </t>
  </si>
  <si>
    <t>מרבית הפרויקטים של האגף הינם פיצויי הפקעה. פרויקטים אלו נמשכים זמן רב</t>
  </si>
  <si>
    <t>פיתוח מתחם רזיאל מע' תב"ע 1706</t>
  </si>
  <si>
    <t>אוצר הצמחים ,הראשונים ואבן אודם</t>
  </si>
  <si>
    <t>צומת הרב גורן מוהליבר - בטיחות</t>
  </si>
  <si>
    <t>צומת השרון בר אילן -בטיחות</t>
  </si>
  <si>
    <t>תכנון כולל לסוגיית חיזוק הקשר בין מזרח העיר למערבה באמצעות תוספות של גשרים להולכי רגל ורכב דו גלגלי.</t>
  </si>
  <si>
    <t>סקר חריגות בניה ברחבי העיר</t>
  </si>
  <si>
    <t>פיתוח רח' צ.ה.ל</t>
  </si>
  <si>
    <r>
      <t>מערכת כבישים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  באזור תעשייה מערבי </t>
    </r>
  </si>
  <si>
    <t>שדרוג כבישים מדרכות ,תשתיות</t>
  </si>
  <si>
    <t>עבודות נגישות לאנשים עם מוגבלויות, מדידות נכסים ובדיקות נכסים לצורך גביית היטלי פיתוח,</t>
  </si>
  <si>
    <t xml:space="preserve">חינוך </t>
  </si>
  <si>
    <t xml:space="preserve">תרבות וספורט </t>
  </si>
  <si>
    <t xml:space="preserve">רווחה </t>
  </si>
  <si>
    <r>
      <t xml:space="preserve">שיפוץ מבני </t>
    </r>
    <r>
      <rPr>
        <sz val="11"/>
        <rFont val="David"/>
        <family val="2"/>
      </rPr>
      <t xml:space="preserve"> תרבות ונוער </t>
    </r>
  </si>
  <si>
    <r>
      <t xml:space="preserve">הקמת פינות מיחזור </t>
    </r>
    <r>
      <rPr>
        <sz val="11"/>
        <rFont val="David"/>
        <family val="2"/>
      </rPr>
      <t>וגזם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ברחבי העיר </t>
    </r>
  </si>
  <si>
    <t>הבקשה/תאור</t>
  </si>
  <si>
    <t>כיכר העוגן השונית</t>
  </si>
  <si>
    <t>הגנה על מצוקי הים</t>
  </si>
  <si>
    <t>רכישת רכבים</t>
  </si>
  <si>
    <t>חידוש ריהוט בי"ס</t>
  </si>
  <si>
    <t>שילוט חופים 2019</t>
  </si>
  <si>
    <t>ציוד הצלה ובטיחות 2019</t>
  </si>
  <si>
    <t>אופנוע ים 2019</t>
  </si>
  <si>
    <t>סה"כ מצטבר</t>
  </si>
  <si>
    <t>מסגרת ביצוע  עבודות מדרכות לאחר השלמת עבודות בניה כתוצאה מהיתרים.</t>
  </si>
  <si>
    <t>פרויקט ממשלתי המתוקצב ע"י המדינה במקביל לרשות. הביצוע העירוני מתעכב עקב בעית פולש והמינהל.</t>
  </si>
  <si>
    <t xml:space="preserve"> תוכנית המתאר הכוללנית </t>
  </si>
  <si>
    <t xml:space="preserve"> תכנון חיבוריות בין מזרח למערב </t>
  </si>
  <si>
    <t>תשלומי פיצויים להפקעות לביצוע שביל אופניים זמני ע"י משרד התחבורה.</t>
  </si>
  <si>
    <t>המשך תכנון חניון ברח' מדינת היהודים.</t>
  </si>
  <si>
    <t>הכשרת חניון העוגן במרינה לחניון בתשלום. ממתין להיתר.</t>
  </si>
  <si>
    <t>עיצוב חצר לימודית בי"ס גורדון</t>
  </si>
  <si>
    <t>פיתוח מתחם גליל ים הר' 1985 א'</t>
  </si>
  <si>
    <r>
      <t>פארק גליל ים</t>
    </r>
    <r>
      <rPr>
        <b/>
        <sz val="11"/>
        <rFont val="David"/>
        <family val="2"/>
      </rPr>
      <t xml:space="preserve"> </t>
    </r>
  </si>
  <si>
    <r>
      <t>קיריית החינוך ( מגרש 406)-</t>
    </r>
    <r>
      <rPr>
        <sz val="11"/>
        <rFont val="David"/>
        <family val="2"/>
      </rPr>
      <t>ספריה, מרכז קהילתי</t>
    </r>
    <r>
      <rPr>
        <b/>
        <sz val="11"/>
        <rFont val="David"/>
        <family val="2"/>
      </rPr>
      <t xml:space="preserve"> </t>
    </r>
  </si>
  <si>
    <t>מתחם בזק</t>
  </si>
  <si>
    <t>בית ספר בן צבי</t>
  </si>
  <si>
    <t>מימון מ. החינוך. ממתין לתקבול סופי.</t>
  </si>
  <si>
    <t>עבודות חיפוי חיצוני עפ"י דרישת מינהל הנדסה.</t>
  </si>
  <si>
    <t>ייסגר עם קבלת תקבולי מ. החינוך.</t>
  </si>
  <si>
    <t>החלפת מזגנים , החלפת תאורה ללדים  ובקרת מבנים במוס"ח ובמוסדות עירוניים. מימון מ. הכלכלה והתעשיה.</t>
  </si>
  <si>
    <t>עבודות גידור קבוע, תאורה תשתיות ושערים במרחב האירועים בפארק.</t>
  </si>
  <si>
    <t>הקמת יחידת חילוץ הצטיידות</t>
  </si>
  <si>
    <t>הצטיידות חדשה של מעבדות בתיכון ראשונים עקב גידול משמעותי במספר התלמידים ומספר הפעילויות .</t>
  </si>
  <si>
    <t xml:space="preserve">עיצוב חדשני של כיתות האם </t>
  </si>
  <si>
    <t>הקמת מרחבי למידה חדשניים בשכבת כיתות ז' בחט"ב רעות הכולל ריהוט ועיצוב פנים.</t>
  </si>
  <si>
    <t>קידום אמנת ברית ערים כתוכנית המשך לתוכנית להפחתת פליטות של פורום ה-15.</t>
  </si>
  <si>
    <r>
      <t>שדרוג</t>
    </r>
    <r>
      <rPr>
        <sz val="11"/>
        <rFont val="David"/>
        <family val="2"/>
        <charset val="177"/>
      </rPr>
      <t xml:space="preserve"> וטיפול המרחב הציבורי</t>
    </r>
  </si>
  <si>
    <t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t>
  </si>
  <si>
    <r>
      <t xml:space="preserve">הסדרת שטחי </t>
    </r>
    <r>
      <rPr>
        <sz val="11"/>
        <rFont val="David"/>
        <family val="2"/>
      </rPr>
      <t>מוס"ח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ברחב</t>
    </r>
    <r>
      <rPr>
        <sz val="11"/>
        <rFont val="David"/>
        <family val="2"/>
        <charset val="177"/>
      </rPr>
      <t xml:space="preserve">י העיר </t>
    </r>
  </si>
  <si>
    <t>שדרוג מתחם המשקל העירוני</t>
  </si>
  <si>
    <t>עבודות במתחם המשקל העירוני להסדרת נושא הבטיחות.</t>
  </si>
  <si>
    <t>שדרוג רחוב בן גוריון</t>
  </si>
  <si>
    <t>הקמת סככות המתנה לאוטובוס כולל תשתיות</t>
  </si>
  <si>
    <t>קידום ושימור הטבע העירוני בעיר</t>
  </si>
  <si>
    <t>טרם הסתיימה עבודה בתחנת הצלה חוף הכוכבים .</t>
  </si>
  <si>
    <r>
      <t>פיתוח חופי רחצה</t>
    </r>
    <r>
      <rPr>
        <strike/>
        <sz val="11"/>
        <rFont val="David"/>
        <family val="2"/>
      </rPr>
      <t/>
    </r>
  </si>
  <si>
    <t xml:space="preserve">מיזמים קהילתיים </t>
  </si>
  <si>
    <t>.</t>
  </si>
  <si>
    <t>פיתוח רח' הארז והחרוב</t>
  </si>
  <si>
    <t>פיתוח רחובות הארז והחרוב. תכנון וביצוע.</t>
  </si>
  <si>
    <t>סקר תשתיות קיימות</t>
  </si>
  <si>
    <t>תיקון ליקויים סקר כיבוי אש מוס"ח  ועיריה</t>
  </si>
  <si>
    <t>סל לעבודות הסדרת ליקויים כיבוי אש במוס"ח ובמוסדות עיריה  לפי סקר.</t>
  </si>
  <si>
    <t>תוכנת ניהול ותאום תשתיות</t>
  </si>
  <si>
    <t>המשך עבודות פיתוח במתחם. פיתוח השצ"פ.</t>
  </si>
  <si>
    <t>הקמת ארנה</t>
  </si>
  <si>
    <t>תוכנית שבילי אופניים בשצ"פים עירוניים</t>
  </si>
  <si>
    <t xml:space="preserve">פיתוח רחוב גבעת החלומות לרבות עבודות ניקוז ותאורה. עדכון תכנון וביצוע . </t>
  </si>
  <si>
    <t xml:space="preserve">השלמת תכנון וביצוע פיתוח קטע הרחוב מרבי עקיבא עד דוד רזיאל. </t>
  </si>
  <si>
    <r>
      <t xml:space="preserve">מסגרת </t>
    </r>
    <r>
      <rPr>
        <sz val="11"/>
        <rFont val="David"/>
        <family val="2"/>
        <charset val="177"/>
      </rPr>
      <t>עבודות של החלפת עמודי תאורה באיזור התעשיה.</t>
    </r>
  </si>
  <si>
    <r>
      <t>שטח 408 גליל ים ב'</t>
    </r>
    <r>
      <rPr>
        <sz val="11"/>
        <rFont val="David"/>
        <family val="2"/>
      </rPr>
      <t>-גנ"י, בי"ס, ספריה</t>
    </r>
    <r>
      <rPr>
        <b/>
        <sz val="11"/>
        <rFont val="David"/>
        <family val="2"/>
      </rPr>
      <t xml:space="preserve"> </t>
    </r>
  </si>
  <si>
    <t xml:space="preserve">מס' תב"ר </t>
  </si>
  <si>
    <t>שיפוץ חזיתות בתים כולל: פיתוח חצרות, חדרי מדרגות, מעלית (רכוש משותף). בשיתוף האגודה לתרבות הדיור.</t>
  </si>
  <si>
    <t xml:space="preserve">הקמה ושדרוג גינות ציבוריות כולל: פיתוח, תשתיות ושבילי גישה, הנגשה, תאורה, מערכות השקייה, מתקני משחק, ריהוט גן, מתקני כושר, משטחי גומי וכל העבודות. עפ"י תוכנית עבודה שתאושר ע"י הנהלת העיר. </t>
  </si>
  <si>
    <t>חינוך לקיימות. קול קורא לשנים 2018-2020. מימון מ. להגנת הסביבה.</t>
  </si>
  <si>
    <t xml:space="preserve">המשך הסדרת שטחי בי"ס ,תוספת הסדרת שטחי גנ"י כולל: עצי הצללה, דשא סינטטי, מערכות השקייה חסכוניות במים והסדרת שטחים מוזנחים. עפ"י תוכנית עבודה שתאושר ע"י הנהלת עיר. </t>
  </si>
  <si>
    <t>התקנת חיבורים חיצוניים לגנרטורים  במבני חינוך וציבור לשימוש בעת הצורך.</t>
  </si>
  <si>
    <t>חסכון,התייע' אנרגטית מוסח/ציבור</t>
  </si>
  <si>
    <t xml:space="preserve">בניית ביכנ"ס ברח' מקדש מלך. תכנון.  </t>
  </si>
  <si>
    <t xml:space="preserve">תכנון מתחם חוף התכלת. עתירה של בעלי הקרקע הפרטיים על השתהות בקידום  התוכנית . </t>
  </si>
  <si>
    <t>תכנון ראשוני הקמת מעון לאנשים עם מוגבלויות ביד התשעה.</t>
  </si>
  <si>
    <t xml:space="preserve">תכנון וביצוע  תוכנית אב לשבילי אופניים </t>
  </si>
  <si>
    <t xml:space="preserve">הקמת חניות והסדרים גיאומטרים ליד מבנה לזכר השואה שיוקם ע"י היזם (ליאור דינור ואחרים). מימון היזם מובטח בערבות. </t>
  </si>
  <si>
    <t xml:space="preserve">בניית אתר הנדסי לתשתיות וסנכרון בין עבודות התשתית השונות ברחבי העיר. </t>
  </si>
  <si>
    <t>עבודות שיפוץ כללי למשרדי האגפים כולל חדר ישיבות.</t>
  </si>
  <si>
    <t xml:space="preserve">פיתוח והקמת מתנ"סים. </t>
  </si>
  <si>
    <t xml:space="preserve">ב – 10.2.2014 אושר במליאת הכנסת חוק רשויות איתנות על פיו ניתנו לרשויות איתנות המתנהלות </t>
  </si>
  <si>
    <t xml:space="preserve">בהתאם לקריטריונים שנקבעו , הקלות מבחינת האסדרה של משרד הפנים , בין היתר בתחום התקציב. </t>
  </si>
  <si>
    <t>לתקופה של שנת תקציב.</t>
  </si>
  <si>
    <t xml:space="preserve">פיתוח ותשתיות, שיפוץ ובניה , בהיקף תקציבי נכבד המבוצעות במשך תקופה ארוכה ואינם מוגבלים </t>
  </si>
  <si>
    <t>גנ"י מתחם זרובבל</t>
  </si>
  <si>
    <t>גנ"י דוד השמעוני</t>
  </si>
  <si>
    <t>ליווי פרויקטים פינוי בינוי</t>
  </si>
  <si>
    <t>תכנון שב"צ דן שומרון בי"ס על יסודי</t>
  </si>
  <si>
    <t>תוספת 6 כיתות לימוד בי"ס שז"ר</t>
  </si>
  <si>
    <t>כיתות גן 3 נוספות מגרש 302 גליל ים</t>
  </si>
  <si>
    <t>נגישות אקוסטית 2019 מ. החינוך</t>
  </si>
  <si>
    <t>חסכון, התיעלות אנרגטית מוסח/ציבור 2020</t>
  </si>
  <si>
    <t>התקנת חיבורים חיצוניים לגנרטורים מוסח/ציבור</t>
  </si>
  <si>
    <t>תיכון היובל</t>
  </si>
  <si>
    <t>שיקום חזית מבנה דיור לקשיש</t>
  </si>
  <si>
    <t>טיפול במפגעי בטיחות במצוק</t>
  </si>
  <si>
    <t>סה"כ החברה לפיתוח</t>
  </si>
  <si>
    <t>סה"כ אגף החינוך</t>
  </si>
  <si>
    <r>
      <t xml:space="preserve">מסמכי מדיניות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ותוכניות אסטרטגיות</t>
    </r>
    <r>
      <rPr>
        <sz val="11"/>
        <rFont val="David"/>
        <family val="2"/>
        <charset val="177"/>
      </rPr>
      <t xml:space="preserve"> להתחדשות עירונית בשכונות</t>
    </r>
    <r>
      <rPr>
        <b/>
        <sz val="11"/>
        <rFont val="David"/>
        <family val="2"/>
      </rPr>
      <t xml:space="preserve"> </t>
    </r>
  </si>
  <si>
    <r>
      <t xml:space="preserve">מעון לאנשים עם מוגבלויות - </t>
    </r>
    <r>
      <rPr>
        <strike/>
        <sz val="11"/>
        <rFont val="David"/>
        <family val="2"/>
      </rPr>
      <t xml:space="preserve"> </t>
    </r>
    <r>
      <rPr>
        <sz val="11"/>
        <rFont val="David"/>
        <family val="2"/>
      </rPr>
      <t>ביד התשעה</t>
    </r>
    <r>
      <rPr>
        <b/>
        <sz val="11"/>
        <rFont val="David"/>
        <family val="2"/>
      </rPr>
      <t xml:space="preserve"> </t>
    </r>
  </si>
  <si>
    <t xml:space="preserve">תיכון היובל </t>
  </si>
  <si>
    <t>חלוקת ההשקעה בתקציב  באלפי ₪ על פי מינהל/אגף/יחידה מפורטת להלן -</t>
  </si>
  <si>
    <t>שם מינהל/אגף/יחידה</t>
  </si>
  <si>
    <t>המשך הצטיידות עפ"י התוכנית המקורית.</t>
  </si>
  <si>
    <t>פינוי דיירים מוגנים גוש 6558 חלקה 151</t>
  </si>
  <si>
    <t>פינוי  2 דיירים מוגנים מרכז מסחרי כצלנסון גוש 6558 חלקה 151.</t>
  </si>
  <si>
    <t>סל להחלפה ושדרוג מזגנים במוסדות חינוך ועירייה. איחוד עם תב"ר 1472.</t>
  </si>
  <si>
    <r>
      <t>הצללות בי"ס וגנ"י</t>
    </r>
    <r>
      <rPr>
        <b/>
        <sz val="11"/>
        <rFont val="David"/>
        <family val="2"/>
        <charset val="177"/>
      </rPr>
      <t xml:space="preserve">  </t>
    </r>
    <r>
      <rPr>
        <sz val="11"/>
        <rFont val="David"/>
        <family val="2"/>
        <charset val="177"/>
      </rPr>
      <t xml:space="preserve">ומתנס"ים </t>
    </r>
  </si>
  <si>
    <t>משטחי בטיחות, מתקני חצר,גינון, דשא סינטטי.</t>
  </si>
  <si>
    <t>בי"ס חלופי בפארק הרצליה</t>
  </si>
  <si>
    <t>השלמת תכנון וביצוע הקמת בי"ס חלופי בפארק.</t>
  </si>
  <si>
    <t xml:space="preserve">מימון מ. החינוך. </t>
  </si>
  <si>
    <t>הקמת מערכות pv מעל גגות מבני ציבור בהרצליה</t>
  </si>
  <si>
    <t>רישוי תחנת הדלק העירונית</t>
  </si>
  <si>
    <t>עלויות רישוי/היתר לתחנת הדלק העירונית במתחם אגף תבל.</t>
  </si>
  <si>
    <t>נגישות אקוסטית 2020 מ. החינוך</t>
  </si>
  <si>
    <t>נגישות אקוסטית גנ"י וכיתות בי"ס . מימון מ.החינוך.</t>
  </si>
  <si>
    <t xml:space="preserve"> הקמת מערכת ניטור קולי התראות לפיקוח במסגרת עיר חכמה. הכל בשיתוף פעולה עם מרכז היזמות העירוני. פרויקט השקייה חכמה , מערכת לניהול פדגוגי בניהול אפליקציה ייעודית לגננות , ניהול דאטה בענן, מיזם לחיסכון אנרגיה.</t>
  </si>
  <si>
    <t xml:space="preserve">ציוד מחשוב היקפי ללמידה מרחוק </t>
  </si>
  <si>
    <t>שיקום מבנה החינוך הימי במרינה</t>
  </si>
  <si>
    <t>שיקום המבנה גג המבנה, שרותים ועבודות פיתוח.</t>
  </si>
  <si>
    <t xml:space="preserve">מסגרת עבודות של  פרויקטים תחבורתיים עפ"י החלטות ועדת תנועה ופניות הציבור : הסדרים בטיחותיים של צמתים , הסדרי חניה ותכנון תנועתי חדש. </t>
  </si>
  <si>
    <t xml:space="preserve">הצללת אזורים של מתקני משחקים לנוחות הציבור. נחקק חוק חדש שאושר בוועדת הפנים המחייב את הרשויות להקים הצללות בגני משחקים. </t>
  </si>
  <si>
    <t>התב"ר לסגירה.</t>
  </si>
  <si>
    <t xml:space="preserve">ביצוע סקר מקיף של כל העצים בעיר ע"י אגרונומים. זאת עפ"י דרישה מ. החקלאות עקב שינויי אקלים והזדקנות העצים במרחב הציבורי. </t>
  </si>
  <si>
    <t>פרויקטים סביבתתים לשיפור איכות הסביבה. מימון מלא מ. להגנת הסביבה.</t>
  </si>
  <si>
    <t>ייסגר עם קבלת תקבולים מ. הגנת הסביבה.</t>
  </si>
  <si>
    <t>ביצוע עבודות לטיפול במפגעי בטיחות במצוק. מימון מ. הפנים.</t>
  </si>
  <si>
    <t>גן יניב - פיתוח והקמת מתקני כושר</t>
  </si>
  <si>
    <t>ציוד הצלה ובטיחות 2020</t>
  </si>
  <si>
    <t>מימון מ. הפנים.</t>
  </si>
  <si>
    <t>עיצוב מרחבי למידה מוס"ח מ.חינוך</t>
  </si>
  <si>
    <t>מימון מ. החינוך.</t>
  </si>
  <si>
    <t>הצטיידות בית ספר חלופי</t>
  </si>
  <si>
    <t>הצטיידות בי"ס דמוקרטי</t>
  </si>
  <si>
    <t xml:space="preserve">עבודות השלמת שצ"פים וגינת כלבים. </t>
  </si>
  <si>
    <t>תוספת קומה והקמת חדרי פעילויות .</t>
  </si>
  <si>
    <t>המשך עבודות פיתוח שצ"פ בשכונת צמרות והשלמת עבודות ליד המשתלה.</t>
  </si>
  <si>
    <t>המשך פיתוח רחוב צ.ה.ל .</t>
  </si>
  <si>
    <t>מתנ"ס קהילתי  בשטח של כ-4000 מ"ר הכולל גלריה מקומית, ספרייה חדשה,  חדרי חוגים, מועדון לגמלאים ובית קפה.</t>
  </si>
  <si>
    <t>הסדרת הסמטה  המקשרת בין רח' אליעזר קפלן במזרח לרח' וינגייט  במערב.</t>
  </si>
  <si>
    <t>הקמת מתנ"ס ברחוב המסילה.</t>
  </si>
  <si>
    <r>
      <t>עבודות הקמת אולם ספורט בנגיד  כולל הריסת אולמות ומקלט קיימים.</t>
    </r>
    <r>
      <rPr>
        <b/>
        <sz val="11"/>
        <rFont val="David"/>
        <family val="2"/>
      </rPr>
      <t xml:space="preserve"> </t>
    </r>
  </si>
  <si>
    <t xml:space="preserve">ביצוע שצ"פ בקטע רח' דליה רביקוביץ פינת אסתר רהב. </t>
  </si>
  <si>
    <t>המשך תכנון ראשוני הקמת ארנה באיזור האיצטדיון.</t>
  </si>
  <si>
    <t>ליווי פרויקטים של פינוי בינוי הכולל הכנת אומדנים ומפרטים ופיקוח על היתרים וביצוע בפועל.</t>
  </si>
  <si>
    <t xml:space="preserve">עבודות פיתוח. מימון רמ"י במסגרת הסכם "הגג". </t>
  </si>
  <si>
    <t>גשר מחבר בין הפארק לבין שבעת הכוכבים.</t>
  </si>
  <si>
    <t>מתחם בי"ס הנדיב</t>
  </si>
  <si>
    <t>בי"ס דמוקרטי</t>
  </si>
  <si>
    <t>חט"ב באלתרמן</t>
  </si>
  <si>
    <t>בית כנסת גליל ים</t>
  </si>
  <si>
    <t>מקווה גליל ים</t>
  </si>
  <si>
    <t>בית ספר ברנר (תוספת 6 כיתות)</t>
  </si>
  <si>
    <t>פיתוח  סופי ברח' זאב במתחם והתחברות כביש סלילה ליהודה הנשיא.</t>
  </si>
  <si>
    <t>ליווי תוכנית הקו הירוק , קו המטרו , מהיר לעיר ואחרים המבוצעים ע"י מ. התחבורה. יועצי תנועה, מפקחים, יועצי בטיחות.</t>
  </si>
  <si>
    <t>סל תכנון הכנת תב"עות לשימור אתרים. השלמת תנאים למתן תוקף.</t>
  </si>
  <si>
    <t>פיתוח סימטה שהפכה לדרך במסגרת תב"ע 2029 בנווה עמל. העבודות כוללות החלפת תשתיות תת קרקעיות,הריסת מבנה והתחברות לרח' כצלנסון.</t>
  </si>
  <si>
    <t xml:space="preserve">הכנת חוו"ד תכנונית והערכות להתנגדות לתוכנית שמקדם מינהל התכנון והועדה המחוזית לכל צפון הרצליה ללא שיתוף העירייה. </t>
  </si>
  <si>
    <t xml:space="preserve">תכנון פיתוח מתחם "ניצבא" כולל פיתוח רחוב העצמאות מבן גוריון עד קהילת ציון. </t>
  </si>
  <si>
    <t xml:space="preserve">תכנון תב"ע לשכונה חדשה בהרצליה הצעירה. שטח בגודל של כ - 50 דונם , כ - 300 יח"ד. </t>
  </si>
  <si>
    <t>העצמת הזכויות הנוספות לבנינים לצורך הגברת הכדאיות של ביצוע חיזוק מבנים. בדיקת מבנים קיימים להיתכנות תמ"א והתאמת המדיניות בעיר לתמ"א החדשה שטרם סוכמה.</t>
  </si>
  <si>
    <t>שינוי תוכנית גליל ים א' ב' (=ט')</t>
  </si>
  <si>
    <t xml:space="preserve">שינוי לתוכנית הר' 1985 ב' עקב ריבוי יח"ד והצורך לספק שטחים ציבוריים בגינם. </t>
  </si>
  <si>
    <t xml:space="preserve">תכנון צומת הרב גורן מוהליבר עקב ריבוי תאונות דרכים עפ"י נתוני הרלב"ד. מימון מ. התחבורה. </t>
  </si>
  <si>
    <t>ביצוע צומת כצלנסון ירושלים כולל הארכת הפניה שמאלה.  פרויקט בטיחותי.מימון מ. התחבורה.</t>
  </si>
  <si>
    <t>תכנון הסדרת צומת אשל- בזל</t>
  </si>
  <si>
    <t>תכנון צומת אשל בזל . פרויקט בטיחותי. מימון מ. התחבורה.</t>
  </si>
  <si>
    <t>עבודות ניקוז רחוב סוקולוב</t>
  </si>
  <si>
    <t>הפרדה בין מי נגר למערכת ביוב עירונית</t>
  </si>
  <si>
    <t>תוכנית תפעולית במסגרת "מהיר לעיר"</t>
  </si>
  <si>
    <t xml:space="preserve">עבודות ניקוז  רחוב רבינו תם </t>
  </si>
  <si>
    <t xml:space="preserve">תוכנית אב לביופילטרים ברחבי העיר   </t>
  </si>
  <si>
    <t xml:space="preserve">עבודות ניקוז   רחוב הרב גורן </t>
  </si>
  <si>
    <t xml:space="preserve">עבודות ניקוז   רחוב רוחמה ושבטי ישראל </t>
  </si>
  <si>
    <t>פיתוח דרך מזרחית מקבילה לקיבוץ גלויות</t>
  </si>
  <si>
    <t>ליווי תוכניות ארציות</t>
  </si>
  <si>
    <t>פיתוח קיימות סביבה וחדשנות</t>
  </si>
  <si>
    <t>משרד הפנים</t>
  </si>
  <si>
    <t>הלוואות</t>
  </si>
  <si>
    <t>סל תכנון של תב"עות הנדרשות במהלך השנה כולל  תוכניות גגות מרתפים מבנים ציבוריים.</t>
  </si>
  <si>
    <t>סל תכנון של תוכניות ופרויקטים, מדידות ותכנון ראשוני כולל פיתוח רחבת העיריה ,אלתרמן.</t>
  </si>
  <si>
    <t xml:space="preserve">הכנת תוכנית מתאר כוללנית על מנת לאפשר לעיריה לתכנן תוכניות בסמכות וועדה מקומית. </t>
  </si>
  <si>
    <t>תב"ע בשיתוף מועצת כפר שמריהו לתכנון קישוריות שביל אופניים ופארק בתחום המסילה המתפנה ובחינת חיבור תחבורתי נוסף להרצליה ב'.</t>
  </si>
  <si>
    <t>עבודות לאיתור ליקויים עקב כמות עצומה של מי הנגר החודרים למערכת הביוב והגורמים להצפות ועבודות לתיקונם.</t>
  </si>
  <si>
    <t>שלב ב' של עבודות שיפוצים יסודיים הרחבות בקומת הקרקע, מטבח, חזיתות. עיכוב בהיתר.</t>
  </si>
  <si>
    <t>הצטיידות חדשה: כיתות חדשות בעקבות גידול עפ"י צפי במס' תלמידים ופתיחת כיתות במקום החדש , שיפוץ כיתות קיימות בביצוע אגף תבל. סל מסגרת.</t>
  </si>
  <si>
    <t>תוכנית אב לשילוט של כל סוגי השילוט בעיר בשלב 1 הרצליה הירוקה ,החלפת שלטים לשלטים מחזירי אור ברחבי העיר .</t>
  </si>
  <si>
    <t xml:space="preserve">הצבת מתקני שתייה מקוררים כולל תשתיות ברחבי העיר לרווחת התושבים. </t>
  </si>
  <si>
    <t xml:space="preserve">ביצוע שצ"פים במתחם : מלכי יהודה (האקליפטוס), קורן,דן שומרון,דורי,משה שמיר. </t>
  </si>
  <si>
    <t>ביצוע תשתיות רח' הנשיא מחיבורו לשער הים עד הצומת רח' הפועל התאנה כולל הטמנת רשת חשמל.</t>
  </si>
  <si>
    <t xml:space="preserve">העבודות:מבנים יבילים, טריבונות, ארונות שחקנים, עבודות בטיחות. </t>
  </si>
  <si>
    <t>הצטיידות ריהוט ומיחשוב 40 מרחבי למידה כולל 20  כיתות אם . מימון מ. הפיס.</t>
  </si>
  <si>
    <t xml:space="preserve">בניית מרחבי למידה  ב - 14 בי"ס . מימון מ. החינוך. </t>
  </si>
  <si>
    <t xml:space="preserve">הכנת תוכנית לניצול יעיל לשצ"פים ברחבי העיר לשימושי שבילי אופניים והתקנת מצללות. </t>
  </si>
  <si>
    <t xml:space="preserve">סל לשדרוג כבישים במקביל לעבודת תאגיד המים ומדרכות ברחבי העיר עפ"י תוכנית עבודה שתאושר ע"י הנהלת העיר. </t>
  </si>
  <si>
    <t>סל להקמת ושדרוג תשתיות כולל עמודי תאורה והתקנת גופי תאורה בטכנולוגיה מתקדמת עפ"י תוכנית רב שנתית. מימון מ. הכלכלה והתעשיה.</t>
  </si>
  <si>
    <t xml:space="preserve">תוספת כיתות וחדרי ספח בקומת המסד בבי"ס ברנדיס. </t>
  </si>
  <si>
    <t xml:space="preserve">ספירת רכוש במוסדות חינוך ויחידות עירוניות וסימון הרכוש העירוני. </t>
  </si>
  <si>
    <t>עבודות מיזוג, חשמל, נגרות תקשורת  והצטיידות לחמ"ל האחורי. מימון מ. הפנים.</t>
  </si>
  <si>
    <t xml:space="preserve">שיקום חזיתות בנין דיור לקשיש ברח' שמאי. שלב א' חזית דרומית בביצוע. </t>
  </si>
  <si>
    <t>הקמת גינות קהילתיות בית ספריות. מימון קרן הועדה החקלאית.</t>
  </si>
  <si>
    <t xml:space="preserve">החלפת מתחם ישן ורעוע עשוי מלוחות עץ נרקבים שעומד שעומד לפני פסילת מכון התקנים. </t>
  </si>
  <si>
    <t>פעילות חד פעמית בעקבות ממצאי סקר טבע עירוני. הפעילות כוללת: סילוק מינים פולשים של צמחייה , סגירת אזורים עם בולדרים,שילוט וכתיבת מסמך מדיניות טבע עירונית.</t>
  </si>
  <si>
    <t xml:space="preserve">עב' פיתוח דחופות בלתי צפויות, מימוני ביניים, שיתעוררו במהלך השנה ויבוצעו עפ"י החלטות הנהלת העיר. שנים 2021/2022. </t>
  </si>
  <si>
    <t xml:space="preserve">הקמת מועדון טלויזיה קהילתית במרכז יום לקשיש בצמרות. </t>
  </si>
  <si>
    <t>פיתוח מתחם הרחובות אוצר הצמחים, אבן אודם, הראשונים.</t>
  </si>
  <si>
    <t xml:space="preserve">תכנון פיתוח הרחובות הר מירון בר כוכבא בעקבות אישור תוכנית התחדשות עירונית. </t>
  </si>
  <si>
    <t xml:space="preserve">מימון מ. התחבורה. </t>
  </si>
  <si>
    <t xml:space="preserve">הקמת תיכון 30 כיתות בשב"צ דן שומרון גוש 656 חל' 991. </t>
  </si>
  <si>
    <t xml:space="preserve">עדכון שם תב"ר : מסומן (*) </t>
  </si>
  <si>
    <t>מערכת כבישים באיזור תעשיה מערבי</t>
  </si>
  <si>
    <t>מרכז מדעים וקהילה</t>
  </si>
  <si>
    <t>הקמת חניון "מרינה לי".</t>
  </si>
  <si>
    <t>תכנון וביצוע שבילי אופנים ברחבי העיר .  תכנון וביצוע: אלטנוילנד , ז'בוטינסקי , העצמאות , הדר. מימון מ. הפיס.</t>
  </si>
  <si>
    <t>סל העתקות אור של תוכניות הפרויקטים השונים.</t>
  </si>
  <si>
    <t xml:space="preserve">תוכנית מתארית ומפורטת חלקית לאורך רחוב המנהרה ועד פארק הואדי. התוכנית כוללת מתחם לשימור. יש עתירה לבימ"ש של בעלי קרקע פרטיים. </t>
  </si>
  <si>
    <t>ביצוע סקר חריגות בנייה עפ"י תיקון לחוק הרשויות.</t>
  </si>
  <si>
    <t xml:space="preserve"> ביצוע צווים שיפוטיים וביצוע הריסות במקרים בהם לא בוצעו, ככל שיידרש בהמשך לסקר חריגות הבניה.</t>
  </si>
  <si>
    <t xml:space="preserve">ליווי אדריכלי  לתוכנית בחינת הקשר השביל הירוק המטרופולוני לאורך אבא אבן תל מיכל והמרחב הציבורי במרינה לחיזוק הקישוריות העיר למרינה ולחוף . </t>
  </si>
  <si>
    <t>הקמת תחנות אוטובוס , תחנות קצה ותשתיות בהתאם לצורך, במסגרת התוכנית התפעולית של "מהיר לעיר".</t>
  </si>
  <si>
    <t>הכנת תוכנית אב לביופילטרים ברחבי העיר והקמת 2 ביופילטרים. מתקנים לסינון מים מזוהמים ומניעת בזבוז מי נגר עירוני .</t>
  </si>
  <si>
    <t xml:space="preserve">יועצי סביבה וקיימות בהיבטים תכנוניים. גיבוש מדיניות של תכנון מיטבי של שטחי החוץ בבי"ס. </t>
  </si>
  <si>
    <t xml:space="preserve">בניית אולם ספורט חדש בחטיבה. </t>
  </si>
  <si>
    <t>תכנון במסגרת שינוי תב"ע חניונים הר' 1900. חניונים: משכית (תכנון מפורט), גלגלי הפלדה.</t>
  </si>
  <si>
    <t>הקמת מע.השכרת אופניים ברחבי העיר ובאיזור התעסוקה, חלק מתוכנית אב להפחתת פליטות גזי חממה. מימון מ.להגנת הסביבה.</t>
  </si>
  <si>
    <t xml:space="preserve">הקמת החניון מתחת לשצ"פ במתחם המרינה לי. </t>
  </si>
  <si>
    <r>
      <t xml:space="preserve">תכנון פיתוח רחוב הפרטיזנים. </t>
    </r>
    <r>
      <rPr>
        <sz val="11"/>
        <rFont val="David"/>
        <family val="2"/>
      </rPr>
      <t xml:space="preserve">מדרכה מזרחית/דרומית, עבודות ניקוז. </t>
    </r>
  </si>
  <si>
    <t xml:space="preserve">עיצוב חצר לימודית בי"ס גורדון. מימון חלקי מ. החינוך. </t>
  </si>
  <si>
    <t>תכנון מקווה במתחם גליל ים.</t>
  </si>
  <si>
    <t>עבודות שיקום חזיתות המקווה. ח-ן סופיים.</t>
  </si>
  <si>
    <r>
      <t xml:space="preserve">החלפת מזגנים והחלפת תאורה ללדים במוס"ח. מימון מ. הכלכלה והתעשיה. </t>
    </r>
    <r>
      <rPr>
        <b/>
        <sz val="11"/>
        <rFont val="David"/>
        <family val="2"/>
      </rPr>
      <t xml:space="preserve"> </t>
    </r>
  </si>
  <si>
    <t xml:space="preserve">הצטיידות מעבדה בהנדסאים . </t>
  </si>
  <si>
    <t>מימון מ. הפנים. עבור רכישת 2 סככות נוספות הצללה לחוף הכוכבים.</t>
  </si>
  <si>
    <t>מימון מ. הפנים. יבוצעו עבודות נוספות בחוף הנפרד.</t>
  </si>
  <si>
    <t>החלפה והוספת ציוד הצלה ובטיחות. מימון מ. הפנים.</t>
  </si>
  <si>
    <t xml:space="preserve">רכישת אופנוע ים כולל זיווד. מימון מ. הפנים. </t>
  </si>
  <si>
    <t xml:space="preserve">החלפה והוספת ציוד הצלה ובטיחות. מימון מ. הפנים. </t>
  </si>
  <si>
    <t xml:space="preserve">מערכות מתקדמות לעיר חכמה כולל שו"ב מצלמות , ציוד נלווה ותשתיות מיחשוב. </t>
  </si>
  <si>
    <t>יתרה שלא מומשה</t>
  </si>
  <si>
    <t xml:space="preserve">מערכת כבישים   באזור תעשייה מערבי </t>
  </si>
  <si>
    <t xml:space="preserve">מעון לאנשים עם מוגבלויות -  ביד התשעה </t>
  </si>
  <si>
    <t xml:space="preserve">פארק גליל ים </t>
  </si>
  <si>
    <t xml:space="preserve">שטח 408 גליל ים ב'-גנ"י, בי"ס, ספריה </t>
  </si>
  <si>
    <t xml:space="preserve">קיריית החינוך ( מגרש 406)-ספריה, מרכז קהילתי </t>
  </si>
  <si>
    <t>מענקים ממוסדות שאינם שלטוניים כגון : מפעל הפייס , השתתפויות של תאגידים .</t>
  </si>
  <si>
    <t xml:space="preserve">חלוקת ההשקעה בתקציב  באלפי ₪ על פי פרקים עיקריים מפורטת להלן –  </t>
  </si>
  <si>
    <t>מינהל/אגף/
יחידה</t>
  </si>
  <si>
    <t>ריכוז לפי מינהל/אגפים/יחידות</t>
  </si>
  <si>
    <t>משרד הכלכלה והתעשיה</t>
  </si>
  <si>
    <t>פיתוח מתחם הרחובות יהודה המכבי, זוהר טל, האצל, הגבורה. סיום. ח-ן סופיים.</t>
  </si>
  <si>
    <t>עבודות פיתוח במתחם הרחובות והרחבתם.סיום. ח-ן סופיים.</t>
  </si>
  <si>
    <t>תכנון מתחם מעונות שרה לפינוי ובינוי.התוכנית בשלב סטוטורי מתקדם - בשלב הפקדה. מימון מ. הבינוי.</t>
  </si>
  <si>
    <t>הקמת חניון "מרינה לי"</t>
  </si>
  <si>
    <t xml:space="preserve">עבודות שיפוץ בית ההורים ברחוב אנה פרנק. עבודות שדרוג ושיפוץ כללי. </t>
  </si>
  <si>
    <t>הכשרת סינמטק בבניין העיריה החדש. מימון מ. הפיס.</t>
  </si>
  <si>
    <t xml:space="preserve">תכנון פיתוח מתחם שיכון דרום. תכנון בין רח' בן גוריון-רבי עקיבא-בן יהודה. </t>
  </si>
  <si>
    <t>במקביל,תבר הצטיידות בחינוך .</t>
  </si>
  <si>
    <t xml:space="preserve">החלפת מערכות צ'לרים באולמות הספורט מימון מ. הכלכלה והתעשיה. </t>
  </si>
  <si>
    <t xml:space="preserve">התקנת מעליות, שרותים ,רמפות בבי"ס עפ"י תוכנית רב שנתית. מימון מ. החינוך. </t>
  </si>
  <si>
    <t xml:space="preserve">מימון מ. הפנים.בניית התחנה טרם הסתיימה. </t>
  </si>
  <si>
    <t>פרויקטים דחופים בצ"מ 2021/2022</t>
  </si>
  <si>
    <t>יתרה לביצוע צפוי עד 31.12.2021</t>
  </si>
  <si>
    <t>אומדן לביצוע שנת 2022</t>
  </si>
  <si>
    <t>אומדן לביצוע שנת 2023 ואילך</t>
  </si>
  <si>
    <t>תקציב נוסף נדרש במסגרת תוכנית עבודה 2021</t>
  </si>
  <si>
    <t>תקציב נוסף נדרש מעבר לתוכנית עבודה 2021</t>
  </si>
  <si>
    <t>סה"כ תקציב נוסף נדרש 2021</t>
  </si>
  <si>
    <t>יתרת תקציב פנויה 31.12.2021</t>
  </si>
  <si>
    <t>תקציב נדרש 2022</t>
  </si>
  <si>
    <t>הצטיידות בי"ס מפתן ארז</t>
  </si>
  <si>
    <t>שיפוץ חדר מורים תיכון הנדסאים</t>
  </si>
  <si>
    <t>מיול וזיווד חופים 2020 מ.הפנים</t>
  </si>
  <si>
    <r>
      <t xml:space="preserve">הקמת </t>
    </r>
    <r>
      <rPr>
        <sz val="11"/>
        <rFont val="David"/>
        <family val="2"/>
        <charset val="177"/>
      </rPr>
      <t xml:space="preserve">חניון מרינה לי </t>
    </r>
  </si>
  <si>
    <r>
      <t xml:space="preserve"> </t>
    </r>
    <r>
      <rPr>
        <sz val="11"/>
        <rFont val="David"/>
        <family val="2"/>
      </rPr>
      <t>מרכז מדעים וקהילה</t>
    </r>
    <r>
      <rPr>
        <b/>
        <sz val="11"/>
        <rFont val="David"/>
        <family val="2"/>
      </rPr>
      <t xml:space="preserve"> </t>
    </r>
  </si>
  <si>
    <r>
      <t xml:space="preserve">הקמת </t>
    </r>
    <r>
      <rPr>
        <sz val="11"/>
        <rFont val="David"/>
        <family val="2"/>
        <charset val="177"/>
      </rPr>
      <t xml:space="preserve">מתנ"ס רחוב המסילה </t>
    </r>
  </si>
  <si>
    <r>
      <t xml:space="preserve">הקמת אולם ספורט הנגיד </t>
    </r>
    <r>
      <rPr>
        <b/>
        <sz val="11"/>
        <rFont val="David"/>
        <family val="2"/>
      </rPr>
      <t/>
    </r>
  </si>
  <si>
    <r>
      <t>בי"ס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ואולם ספורט ויצמן  </t>
    </r>
    <r>
      <rPr>
        <strike/>
        <sz val="11"/>
        <rFont val="David"/>
        <family val="2"/>
      </rPr>
      <t/>
    </r>
  </si>
  <si>
    <r>
      <t>שצ"פים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>במתחם הר 1960</t>
    </r>
    <r>
      <rPr>
        <b/>
        <sz val="11"/>
        <rFont val="David"/>
        <family val="2"/>
      </rPr>
      <t xml:space="preserve"> </t>
    </r>
  </si>
  <si>
    <r>
      <t>תוכ. אב רב שנתית שיפוצים מוס"ח</t>
    </r>
    <r>
      <rPr>
        <sz val="11"/>
        <rFont val="David"/>
        <family val="2"/>
      </rPr>
      <t xml:space="preserve"> 2021  ואילך.</t>
    </r>
  </si>
  <si>
    <t>החלפת קו ניקוז רח' שלווה</t>
  </si>
  <si>
    <t>החלפת קו ניקוז רח' בזל</t>
  </si>
  <si>
    <t>נגישות אקוסטית 2021 מ.החינוך</t>
  </si>
  <si>
    <t>הקמת מבנים יבילים חדשים באיצטדיון</t>
  </si>
  <si>
    <t>נגישות אקוסטית 9 כיתות. מימון מ. החינוך.</t>
  </si>
  <si>
    <t xml:space="preserve"> הקמת 3 מבנים יבילים  באיצטדיון כולל תשתיות ופיתוח דרכי גישה.</t>
  </si>
  <si>
    <t>שיפוץ והצטיידות תיכון הנדסאים. מ. החינוך.</t>
  </si>
  <si>
    <t>החלפת קו ניקוז ברח' שלווה. אומדן ראשוני.</t>
  </si>
  <si>
    <t>החלפת קו ניקוז ברח' בזל. אומדן ראשוני.</t>
  </si>
  <si>
    <t xml:space="preserve">עדכון מע. מידע הנדסי כתוצאה משינוי ייעודי קרקע עקב החלטות ועדות התכנון. </t>
  </si>
  <si>
    <r>
      <t>התחדשות עירונית יד  התשעה</t>
    </r>
    <r>
      <rPr>
        <b/>
        <sz val="11"/>
        <rFont val="David"/>
        <family val="2"/>
      </rPr>
      <t xml:space="preserve"> </t>
    </r>
  </si>
  <si>
    <t xml:space="preserve">הליך התנעה לתכנון מתחם לפינוי בינוי למרכז עירוני-עסקי ומגורים ברחוב בן גוריון. </t>
  </si>
  <si>
    <t>תכנית מתאר להתחדשות עירונית</t>
  </si>
  <si>
    <t>שדרוג מובל ניקוז בנעמי שמר</t>
  </si>
  <si>
    <t xml:space="preserve">שצפ הואדי והמנהרה הרומית </t>
  </si>
  <si>
    <t>עבודות פיתוח, גינון והשקייה, עבודות ניקוז ותיעול פיתוח לאזור הואדי כולל שיקום מדרכות ושבילי אופניים בנעמי שמר ועבודות חשמל ותאורה.ב - 2022 עבור הפקעות. הפרויקט ברובו במימון נת"ע.</t>
  </si>
  <si>
    <t>שצפ שבט מנשה</t>
  </si>
  <si>
    <t>עבודות פיתוח, גינון , השקייה, חשמל ותאורה ברחוב שבט מנשה.</t>
  </si>
  <si>
    <t>גינת צוקרמן</t>
  </si>
  <si>
    <t>עבודות פיתוח, גינון , השקייה, חשמל ותאורה רחוב בר כוכבא.</t>
  </si>
  <si>
    <t>המדרון 15 שצ"פ</t>
  </si>
  <si>
    <t>פיתוח רחוב המדרון. רחוב ללא מוצא.</t>
  </si>
  <si>
    <t>תכנון כולל הרצליה פיתוח</t>
  </si>
  <si>
    <t>בחינת הגדלת זכויות בנייה ובדיקה פרוגרמטית הרצליה פיתוח.</t>
  </si>
  <si>
    <t>מינהל תפעול</t>
  </si>
  <si>
    <t xml:space="preserve">סל לייעוץ וקידום תכנון הנדסי. </t>
  </si>
  <si>
    <r>
      <t xml:space="preserve">התקנה שדרוג מזגנים </t>
    </r>
    <r>
      <rPr>
        <sz val="11"/>
        <rFont val="David"/>
        <family val="2"/>
      </rPr>
      <t>במוס"ח</t>
    </r>
    <r>
      <rPr>
        <sz val="11"/>
        <rFont val="David"/>
        <family val="2"/>
        <charset val="177"/>
      </rPr>
      <t xml:space="preserve">   ועיריה </t>
    </r>
  </si>
  <si>
    <t>הצללות קבועות מעל מגרשי ספורט  עפ"י תוכנית רב שנתית. 3 הצללות ב - 2022: 1 בספורטק , 2 במתנסים עפ"י החלטה.</t>
  </si>
  <si>
    <t>סל עבודות איטום מקלטים  עפ"י תוכנית ומערכת שליטה והגנה על מיקלטים בעיר.</t>
  </si>
  <si>
    <t>סל לביצוע עבודות פרויקטים קטנים הנדרשים ע"י המינהל מעת לעת.</t>
  </si>
  <si>
    <t>מסגרת עבודות במרחב הציבורי. בביצוע שרותים ציבוריים בבית קינן. לאחר מכן ייסגר.</t>
  </si>
  <si>
    <t>סל עבודות שיפוצים שונות במוס"ח לרבות שיפוצים יסודיים והתאמת מבנים גנ"י.ראה תב"ר 2177. ייסגר עם קבלת תקבול מ. החינוך יביל יד גיורא.</t>
  </si>
  <si>
    <t>הצטיידות חד פעמית בהקמת  יחידת חילוץ מתנדבים שעברו הכשרה בפיקוד העורף לתפקוד במצבי חרום .</t>
  </si>
  <si>
    <t>שדרוג רחוב וינגייט</t>
  </si>
  <si>
    <t>נגישות אקוסטית .מימון מ. החינוך. 2022 : תיכון ראשונים.</t>
  </si>
  <si>
    <t>הקמת קירות תמך ברחבי העיר</t>
  </si>
  <si>
    <t>הגנת מצוקי הים</t>
  </si>
  <si>
    <t>מתיחת פנים בנווה עמל</t>
  </si>
  <si>
    <t>מערכת מבוססת מצלמות לאכיפת חניה ונתצים</t>
  </si>
  <si>
    <t>תוכנית הערכות לשינויי האקלים</t>
  </si>
  <si>
    <t>סל למערכות וצרכי בטחון</t>
  </si>
  <si>
    <t>סל למערכות שונות ורכש לצרכי בטחון: מערכת מעברים מהירים לבנין העירייה,רכש מכולות לחרום ורכש רחפן.</t>
  </si>
  <si>
    <t>שדרוג רחוב אלי לנדאו</t>
  </si>
  <si>
    <t>שדרוג רחוב אלי לנדאו כולל: כבישים, מפרצי חנייה, מדרכות, גינון, תאורה, שילוט וריהוט רחוב.</t>
  </si>
  <si>
    <t>רכישת טרקטור לחוף הים</t>
  </si>
  <si>
    <t>רכישת נפת חול לחופי הרחצה</t>
  </si>
  <si>
    <t>שילוט בחופי רחצה 2021</t>
  </si>
  <si>
    <t>ציוד הצלה ובטיחות 2021</t>
  </si>
  <si>
    <t>רכישת אופנוע ים 2021</t>
  </si>
  <si>
    <t>שדרוג וחידוש רהוט רחוב ברחבי העיר</t>
  </si>
  <si>
    <t>שיפוצי מוס"ח ע"פ סקרים והערכות לפתיחת שנה"ל</t>
  </si>
  <si>
    <t xml:space="preserve">תקציב מסגרת של עבודות במוס"ח לרבות שיפוצים יסודיים , התאמת מבנים ושדרוג גנ"י על פי רשימה שתאושר ע"י הנהלת העיר. </t>
  </si>
  <si>
    <t>פיתוח מוסדות חינוך בהתאם לתוכנית אב</t>
  </si>
  <si>
    <t>היערכות לתכנון תוכנית אב רב שנתית התאמת מוסדות חינוך בהתאם לצורך ולגידול האוכלוסיה.</t>
  </si>
  <si>
    <t>שדרוג תאורה במגרשי אימונים באיצטדיון</t>
  </si>
  <si>
    <t>בית ליצירה אומנותית - מועדון הנוער</t>
  </si>
  <si>
    <t>הסבת מעון יום בנווה ישראל</t>
  </si>
  <si>
    <t>שיפוץ הקונסרבטוריון יד התשעה</t>
  </si>
  <si>
    <t>שיקום בטונים יציע מערבי באיצטדיון</t>
  </si>
  <si>
    <t>עבודות שיקום בטונים ביציע המערבי בעקבות דוח קונסטרוקטור להשמשת האיצטדיון.</t>
  </si>
  <si>
    <t>מס"ד</t>
  </si>
  <si>
    <t>ביצוע רח' רח' משכית, השלמת תכנון וביצוע כניסה נוספת רח' שנקר, תכנון וביצוע רח' שנקר, המנופים,יוחנן הסנדלר ויד חרוצים.</t>
  </si>
  <si>
    <t xml:space="preserve">בנין העיריה החדש.  </t>
  </si>
  <si>
    <t>עבודות מבנה מועדון פטנג. בספורטק.</t>
  </si>
  <si>
    <t>ביצוע פיתוח ותשתית במתחם "מרינה לי". ביצוע שלב ב'.</t>
  </si>
  <si>
    <r>
      <t xml:space="preserve">בניית 3 גנ"י בנווה עמל. חלקות בבעלות רמ"י. </t>
    </r>
    <r>
      <rPr>
        <sz val="11"/>
        <rFont val="David"/>
        <family val="2"/>
      </rPr>
      <t xml:space="preserve">נדחה עד הכרת מ. החינוך </t>
    </r>
    <r>
      <rPr>
        <sz val="11"/>
        <rFont val="David"/>
        <family val="2"/>
        <charset val="177"/>
      </rPr>
      <t>והסכם חכירה רמ"י.</t>
    </r>
  </si>
  <si>
    <t>סל עבודות לשדרוג במרחב הציבורי קירצוף וריבוד באיזור התעשיה.</t>
  </si>
  <si>
    <r>
      <t>הפיכת תוכנית אסטרטגית  לתוכנית סטטוטורית, לתוכנית מתאר בועדה המחוזית בהתאם ליו"ר הועדה המחוזית.</t>
    </r>
    <r>
      <rPr>
        <sz val="11"/>
        <rFont val="David"/>
        <family val="2"/>
      </rPr>
      <t xml:space="preserve"> </t>
    </r>
  </si>
  <si>
    <t>הריסת מבני ספח והקמת מבנה חדש.תכנון ראשוני בי"ס בן צבי. תוספת 6 כיתות הרחבה ל - 24 כיתות.</t>
  </si>
  <si>
    <t>תכנון וביצוע ניקוז ברחוב סוקולוב בשיתוף עם תאגיד המים. במסגרת תוכ. אב לניקוז.</t>
  </si>
  <si>
    <t>תכנון וביצוע ניקוז ברחוב רבנו תם בשיתוף עם תאגיד המים. במסגרת תוכ. אב לניקוז.</t>
  </si>
  <si>
    <t>תכנון וביצוע ניקוז ברחוב הרב גורן בשיתוף עם תאגיד המים. במסגרת תוכ. אב לניקוז.</t>
  </si>
  <si>
    <t>תכנון וביצוע ניקוז ברחוב רוחמה ושבאי ישראל בשיתוף עם תאגיד המים. במסגרת תוכ. אב לניקוז.</t>
  </si>
  <si>
    <t xml:space="preserve">בדיקת היתכנות להקמת בי"ס יסודי 18 כיתות. </t>
  </si>
  <si>
    <t xml:space="preserve">הריסת א. ספורט קיים, בנית חדש ובניית 6  כיתות לימוד ובניית 3 גנ"י במקום גן קיים אלה. </t>
  </si>
  <si>
    <t xml:space="preserve">בדיקת היתכנות 6 כיתות  בי"ס יסודי . הרחבה ל - 18 כיתות.  </t>
  </si>
  <si>
    <t>גנ"י אחד העם</t>
  </si>
  <si>
    <t>גנ"י חנה רובינא</t>
  </si>
  <si>
    <t>גנ"י ומעונות יום רח הזמר העברי מתחם המסילה</t>
  </si>
  <si>
    <t>מתחם ספורט משותף במתחם אלתרמן</t>
  </si>
  <si>
    <t>מועדון קרמבו ים</t>
  </si>
  <si>
    <t>פרוייקט חינוכי של גנ"י שהוסמכו להיות "גנים ירוקים" .שילוב למידה בטבע ובחורשות מס' ימים בשבוע. עבודות התאמת החורשות לשהיית ילדים : ריהוט גן- ספסלים, אשפתונים ושולחנות פיקניק, ברזיות , פחי מיחזור , תשתית השקייה, נטיעת עצים נוספים וצמחייה לימודית. הסבת חצרות גנ"י (חינוך). מסגרת תקציב.</t>
  </si>
  <si>
    <t>הצטיידות ריהוט ומיחשוב מבנה  בי"ס דמוקרטי בפארק.</t>
  </si>
  <si>
    <t>הצטיידות .מימון חלקי מ. הרווחה.</t>
  </si>
  <si>
    <t>שיפוץ פינות חי נוף ים</t>
  </si>
  <si>
    <t>שיפוץ ובינוי כולל עיצוב והצטיידות  פינת חי בבי"ס נוף ים.</t>
  </si>
  <si>
    <t>הצטיידות בי"ס יסודי מגרש 406</t>
  </si>
  <si>
    <t>הצטיידות בי"ס יסודי מגרש 408</t>
  </si>
  <si>
    <t>בריכה באפולוניה - הצטיידות</t>
  </si>
  <si>
    <t>ארבע מאוורי תקרה גדולים לבריכה וציוד כושר עבור חדר כושר</t>
  </si>
  <si>
    <t xml:space="preserve">הכנת תב"ע . מימון רמ"י. </t>
  </si>
  <si>
    <t xml:space="preserve">עבודות הנגשה של מרחב ציבורי ומבני ציבור כנדרש עפ"י החוק עפ"י תוכנית רב שנתית. </t>
  </si>
  <si>
    <t>מינהל התפעול</t>
  </si>
  <si>
    <t>שנת  2022</t>
  </si>
  <si>
    <t>שנת 2022</t>
  </si>
  <si>
    <t>העברה מתקציב רגיל 2021</t>
  </si>
  <si>
    <t>עבודות פיתוח, גינון  חשמל ותאורה מבנה הכבאית במיקום חדש בפארק הרצליה.</t>
  </si>
  <si>
    <t>פער</t>
  </si>
  <si>
    <t>ינואר</t>
  </si>
  <si>
    <t>פברואר</t>
  </si>
  <si>
    <t>מאי</t>
  </si>
  <si>
    <t>יוני</t>
  </si>
  <si>
    <t>יולי</t>
  </si>
  <si>
    <t>אוגוסט</t>
  </si>
  <si>
    <t xml:space="preserve">גדר בגובה 4 מ' סביב מגרשי אימונים במתחם האצטדיון מול משרדי תבל . </t>
  </si>
  <si>
    <t>אגף נכסים</t>
  </si>
  <si>
    <t>סה"כ אגף נכסים</t>
  </si>
  <si>
    <t xml:space="preserve">מסגרת תוכנית פיתוח </t>
  </si>
  <si>
    <t>רחוב אזר ההסתדרות</t>
  </si>
  <si>
    <t>תכנון וביצוע של עבודות שדרוג פנימי של המובל בנעמי שמר להגדלת כושר ההולכה.</t>
  </si>
  <si>
    <t>טיפול בשב"צ+גינת כלבים. ב - 2022: גינת כלבים.</t>
  </si>
  <si>
    <t>תכנון ראשוני של פיתוח מתחם "בזק" בו ייבנה בניין משרדים שבין היתר יאוכלס אגף הרווחה. הפרויקט כולל הריסת מבנה בזק.</t>
  </si>
  <si>
    <t>תכנון קמפוס גני ילדים בחנה רובינא.</t>
  </si>
  <si>
    <t>תכנון 3 גנ"י ביהודה הנשיא.</t>
  </si>
  <si>
    <t>תכנון 4 גנ"י ומעונות יום במתחם המסילה.</t>
  </si>
  <si>
    <t>מתחם ספורט משותף: אולם ומגרש ספורט לתיכון היובל, אולם ספורט לבי״ס נבון ואולם התעמלות מכשירים. ב - 2022: תכנון.</t>
  </si>
  <si>
    <t>-</t>
  </si>
  <si>
    <t>עבודות שונות בפארק כולל חידוש דק, שיפוץ שרותים מרכזיים , חידוש מסלול גומי, קרצוף וריבוד מסלולים.</t>
  </si>
  <si>
    <t>תכנון תב"ע מתחם הנופש "אקספורט"</t>
  </si>
  <si>
    <t>תכנון וביצוע הקמת מתקני כושר ופיתוח בשטח הגבול בין גינת הכלבים וחיבור לגן הציבורי בשטח של 1.3 דונם.</t>
  </si>
  <si>
    <t xml:space="preserve">עבודות במרחב הציבורי בשטחים ציבוריים בשכונות השונות ברחבי העיר כולל ריהוט רחוב ופינוי אסבסט עפ"י תוכנית עבודה שתאושר ע"י הנהלת העיר. </t>
  </si>
  <si>
    <t>פרוייקט התאמת חורשות וחצרות גנ"י פרויקט EACH</t>
  </si>
  <si>
    <t>הקמת מערכות סולאריות על גגות אולמות ספורט ומתנ"סים 14 במספר עפ"י רשימה. מימון הלוואות במסגרת מיזם  מאושר מפעל הפייס. עבר ממינהל התפעול.</t>
  </si>
  <si>
    <t xml:space="preserve">הקמת מרכז תרבות עם קונספט אקלימי חדשני בו יהיו גם פעילויות חינוכית, פיתוח עסקי, חברתי ותיירותי בתחום. </t>
  </si>
  <si>
    <t>מוזיאון הרצליה - הרחבה ושיפוץ</t>
  </si>
  <si>
    <t>תוספת קומה כ - 300 מ"ר , עבודות שיפוץ ופיתוח רחבת המוזיאון.</t>
  </si>
  <si>
    <t>מרכז תרבות בנושא האקלים ברחוב בן גוריון</t>
  </si>
  <si>
    <t>ביכנ"ס  הרצליה הירוקה</t>
  </si>
  <si>
    <t xml:space="preserve"> מרכז מדעים וקהילה </t>
  </si>
  <si>
    <t>הריסה ובניה  חדשה של מועדון צופי ים.</t>
  </si>
  <si>
    <t>הקמת מעון יום במתנ"ס נווה ישראל.תוספת קומה והקמת 4 כיתות מעון , פיתוח והצטיידות. ב - 2022 בדיקת היתכנות ותכנון.</t>
  </si>
  <si>
    <t>הצבת מבנים יבילים , מבני שרותים, הצללות ופיתוח שבט צופים ליד אולפנה צביה.</t>
  </si>
  <si>
    <t>תרבות וספורט (82)</t>
  </si>
  <si>
    <t>סה"כ מינהל תפעול</t>
  </si>
  <si>
    <t>הקמת מחלקת אכיפה אלקטרונית, מרכז שליטה -מינהל התפעול</t>
  </si>
  <si>
    <t>עבודות שיפוץ הקונסבטוריון כ - 1,000 מ"ר ב - 2 קומות בשכונת יד התשעה כולל תקרות אקוסטיות, תאורה, ריצוף, שדרוג השרותים , מערכות חשמל, מיזוג אוויר. מ. הפיס.</t>
  </si>
  <si>
    <t>ראה תבר בניה בחברה לפיתוח הרצליה. מ. הפיס.</t>
  </si>
  <si>
    <t>ליווי של יועצים ,מתכננים , אגרונום למגוון תוכניות ארציות (תמ"א,תמ"ל).</t>
  </si>
  <si>
    <t xml:space="preserve">עבודות הרחבת והכשרת חלקות נוספות מס' 3 , 5, בבית העלמין החדש. </t>
  </si>
  <si>
    <t xml:space="preserve"> הקמת מבנה טניס חדש, שיפוץ מבני מתנ"ס קיים קירוי 2 מגרשי טניס ופיתוח סביבתי למתחם .</t>
  </si>
  <si>
    <t>הקמת קמפוס מדעים:בי"ס להנדסאים ותיכון חדש. מימון מ. החינוך.</t>
  </si>
  <si>
    <t xml:space="preserve">השלמת ביצוע דרום, ביצוע והשלמת תכנון פארק רבין צפון. מימון מ. הפיס. </t>
  </si>
  <si>
    <t xml:space="preserve">גיבוש תוכנית פעולות לעבודות הגנה על מצוקי חופי הים . 2022: המשך תכנון. מימון מ. הפנים. </t>
  </si>
  <si>
    <t>תכנון לתוספת 6 כיתות בי"ס שז"ר. מימון מ. החינוך.</t>
  </si>
  <si>
    <t>פיתוח רחוב חדש המזרחי ביותר בנווה עמל.  תכנון.</t>
  </si>
  <si>
    <t xml:space="preserve">תכנון וביצוע 2 גנ"י. </t>
  </si>
  <si>
    <t xml:space="preserve">בניית 10 כיתות גן . </t>
  </si>
  <si>
    <t xml:space="preserve"> כיתות גן (7) . </t>
  </si>
  <si>
    <t xml:space="preserve">רכישת מיכלי אצירה מפלסטיק ומתכת לפסולת ומיחזור. </t>
  </si>
  <si>
    <t>התקנת מעלית . מימון חלקי של משרד החינוך.</t>
  </si>
  <si>
    <t>הקמת פינות מיחזור ברחבי העיר (פינות המרכזות מיכלי אצירה לסוגים שונים של פסולת כגון: בקבוקים, זכוכית, נייר, אריזות ועוד). שדרוג מיכלי מיחזור לפי דגם אחיד .</t>
  </si>
  <si>
    <t>עבודות שדרוג ושיקום שטחי הגינון  לצידי הרחוב במקטעים שטרם שודרגו.  (כניסה מרמת השרון).</t>
  </si>
  <si>
    <t>התקנת תאורה בתחנות אוטובוס ברחבי העיר שהקים מ.התחבורה  וביצוע תשתיות לתחנות אוטובוס שיוצבו ע"י מ. התחבורה ב - 2022.</t>
  </si>
  <si>
    <t>סל עבודות במוס"ח לרבות שיפוצים יסודיים , התאמת מבנים ושדרוג גנ"י .</t>
  </si>
  <si>
    <t>שדרוג שכונת נווה עמל כולל: כבישים, מפרצי חנייה, מדרכות, גינון, תאורה, שילוט וריהוט רחוב.</t>
  </si>
  <si>
    <t xml:space="preserve">רכישת טרקטור "קטן" מתאים לעבודות בחופים חלופה לטרקטור גדול קיים לא יעיל בשימוש. </t>
  </si>
  <si>
    <t>רכישת נפת חול לסינון וניקוי החול בחופי הרחצה לתמיכה בטיפול בארוע זיהום הים בזפת. מימון מ. הגנת הסביבה.</t>
  </si>
  <si>
    <t>תקציב מסגרת.החלפת ושדרוג ריהוט הרחוב ברחבי העיר:רחבת שער העיר, שדרות חן, חופי הים - השרון, זבולון . ושכונות נוספות בעיר.</t>
  </si>
  <si>
    <t>פרויקט החלפת ריהוט המותאם למאה ה - 21  בכל ביה"ס. תוכנית רב שנתית.</t>
  </si>
  <si>
    <t>עב' פיתוח דחופות בלתי צפויות, מימוני ביניים, שיתעוררו במהלך השנה ויבוצעו עפ"י החלטות הנהלת העיר. שנים 2019/2020. חן סופיים.</t>
  </si>
  <si>
    <t>ריכוז אגפים</t>
  </si>
  <si>
    <t>76 , 72</t>
  </si>
  <si>
    <t>הקמת מתנ"ס רחוב המסילה</t>
  </si>
  <si>
    <t>משרד נייד (רכב)  הכולל : מרכז תקשורת רב ערוצית ,תורן תקשורת טלסקופי,עמדת מחשב,קיר תדרוך,עזרים שונים , בלון תאורה להארה של זירת ארוע ,מיזוג אויר, תאורה,מרכז אנרגיה.</t>
  </si>
  <si>
    <t>שדרוג וטיפול המרחב הציבורי</t>
  </si>
  <si>
    <t>פיתוח חופי רחצה</t>
  </si>
  <si>
    <t>התקציב מיועד לשיפוץ מבני תרבות ונוער  , עבודות התאמה לתקן מגרשי הספורט,</t>
  </si>
  <si>
    <t>הצטיידות אולמות ספורט, הקמה ושיפוץ רצפות פרקט באולמות הספורט, מתקני ספורט.</t>
  </si>
  <si>
    <t xml:space="preserve">הקמת חניון מרינה לי </t>
  </si>
  <si>
    <t xml:space="preserve">הקמת מתנ"ס רחוב המסילה </t>
  </si>
  <si>
    <t xml:space="preserve">הקמת אולם ספורט הנגיד </t>
  </si>
  <si>
    <t xml:space="preserve">בי"ס ואולם ספורט ויצמן  </t>
  </si>
  <si>
    <t xml:space="preserve">שצ"פים במתחם הר 1960 </t>
  </si>
  <si>
    <t>הקמת קירות תמך עקב בעיות בטיחות במרחב הציבורי</t>
  </si>
  <si>
    <t>עבודות עפר,בטיחות וגידור לטיפול במצוקים בחופי הים</t>
  </si>
  <si>
    <t>עבודות של כבישים ותשתיות איזור תעשיה מערבי.</t>
  </si>
  <si>
    <t>תכנון וביצוע מערך שבילי אופניים ברחבי העיר.</t>
  </si>
  <si>
    <t>השקעה במוסדות חינוך ,מבני ציבור ועבודות פיתוח תשתיות במתחם גליל ים.</t>
  </si>
  <si>
    <t xml:space="preserve">השקעות בבניה חדשה כולל שדרוגים של מוסדות חינוך ברחבי העיר. </t>
  </si>
  <si>
    <t>שרותים עירוניים שונים (76,72)</t>
  </si>
  <si>
    <r>
      <t>בחינת התכנות</t>
    </r>
    <r>
      <rPr>
        <sz val="11"/>
        <rFont val="David"/>
        <family val="2"/>
        <charset val="177"/>
      </rPr>
      <t xml:space="preserve"> לגנ"י חדשים</t>
    </r>
    <r>
      <rPr>
        <sz val="11"/>
        <rFont val="David"/>
        <family val="2"/>
      </rPr>
      <t xml:space="preserve"> במתחמים שונים</t>
    </r>
  </si>
  <si>
    <r>
      <t>תכנון וביצוע הקמת 5 כיתות גן במתחם השמעוני.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מימון מ. החינוך. </t>
    </r>
  </si>
  <si>
    <t>הכנת תוכנית היערכות לשינויי האקלים הכוללת יועצים.</t>
  </si>
  <si>
    <t>התאמת מבנים בפארק לבי"ס דמוקרטי.</t>
  </si>
  <si>
    <t>התקנת מערכות שו"ב מצלמות מוס"ח מבני ציבור</t>
  </si>
  <si>
    <t xml:space="preserve">בדיקת התכנות לבניית גנ"י במתחמים שונים ברחבי העיר בהתאם לצרכים העירוניים מעת לעת. </t>
  </si>
  <si>
    <t xml:space="preserve">הריסת מבנים קיימים ובניה מתחם חדש:בי"ס יסודי 24 כיתות, 4 כיתות ח"מ, אולם ספורט, מגרש ספורט מוצלל, 4 כיתות גנ"י. </t>
  </si>
  <si>
    <r>
      <t xml:space="preserve">בניית בי"ס יסודי 18 כיתות , 5 כיתות גן , מועדון תנועת נוער, אולם ספורט בינוני , מגרש ספורט משולב, חניון תתקרקעי 2 מפלסים. </t>
    </r>
    <r>
      <rPr>
        <sz val="11"/>
        <rFont val="David"/>
        <family val="2"/>
      </rPr>
      <t xml:space="preserve"> מימון מ. החינוך בי"ס,גנ"י.</t>
    </r>
  </si>
  <si>
    <t>החלפת צ'ילרים אולמות ספורט נ. ישראל,סמדר ,נוף ים</t>
  </si>
  <si>
    <t>סל עבודות פיתוח גידור,שדרוג והיערכות לקראת פתיחת עונת הרחצה ובמהלכה. עפ"י תוכנית שתאושר ע"י הנהלת העיר.</t>
  </si>
  <si>
    <t>מערכת מבוססת מצלמות לאכיפת החנייה והנת"צים ברחבי העיר. מימון מ. התחבורה.</t>
  </si>
  <si>
    <t>הקמת תחנות הצלה חוף אכדיה צפון וחוף סידני עלי</t>
  </si>
  <si>
    <t>הפיכת מחסנים למשרדים של הנהלת מטה התפעול , מטה הכספים ואגף הדרכים כולל מע. מולטימדיה למשל"ט במינהל התפעול.</t>
  </si>
  <si>
    <t xml:space="preserve">בניית ממ"דים בבתים  בשיתוף האגודה לתרבות הדיור. </t>
  </si>
  <si>
    <t>תכנון ביכנ"ס במתחם גליל ים. כולל בניית ביכנ"ס זמני .</t>
  </si>
  <si>
    <t>תכנון והיערכות להכנת תוכנית סטטוטורית לאישור הועדה המחוזית בעתודת קרקע בין הרחובות יוסף נבו , ז'בוטינסקי ובן ציון מיכאלי.</t>
  </si>
  <si>
    <t>נגישות אקוסטית כיתות בי"ס . מימון מ.החינוך.</t>
  </si>
  <si>
    <t>81-83</t>
  </si>
  <si>
    <t>84-85</t>
  </si>
  <si>
    <t>יתרה לביצוע צפוי עד 31.12.2022</t>
  </si>
  <si>
    <t>אומדן לביצוע שנת 2023</t>
  </si>
  <si>
    <t>אומדן לביצוע שנת 2024 ואילך</t>
  </si>
  <si>
    <t>תקציב נוסף נדרש במסגרת תוכנית עבודה 2022</t>
  </si>
  <si>
    <t>תקציב נוסף נדרש מעבר לתוכנית עבודה 2022</t>
  </si>
  <si>
    <t>סה"כ תקציב נוסף נדרש 2022</t>
  </si>
  <si>
    <t>יתרת תקציב פנויה 31.12.2022</t>
  </si>
  <si>
    <t>תקציב נדרש 2023</t>
  </si>
  <si>
    <t>הכשרת מבנה מוזיאון אלי כהן</t>
  </si>
  <si>
    <t>עב' תאורה ברחובות עקב הטמנת קווי החשמל מתחת לקרקע</t>
  </si>
  <si>
    <t>שדרוג מערך מיזוג אויר בבניין העירייה</t>
  </si>
  <si>
    <t>נגישות אקוסטית 2021</t>
  </si>
  <si>
    <t>שדרוג סוקולוב בקטע שבין הנדיב עד פינסקר</t>
  </si>
  <si>
    <t>בניית כיתת חינוך מיוחד</t>
  </si>
  <si>
    <r>
      <t xml:space="preserve">פיתוח </t>
    </r>
    <r>
      <rPr>
        <b/>
        <sz val="11"/>
        <rFont val="David"/>
        <family val="2"/>
      </rPr>
      <t xml:space="preserve">  </t>
    </r>
    <r>
      <rPr>
        <sz val="11"/>
        <rFont val="David"/>
        <family val="2"/>
      </rPr>
      <t xml:space="preserve">פארק רבין </t>
    </r>
  </si>
  <si>
    <r>
      <t xml:space="preserve">אולם ספורט בי"ס יוחנני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ובניית כיתות וגנ"י</t>
    </r>
  </si>
  <si>
    <r>
      <t xml:space="preserve">פרויקטים קטנים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מינהל התפעול </t>
    </r>
  </si>
  <si>
    <r>
      <t>פיר מעלית ומעלית בנין המועצה הדתית</t>
    </r>
    <r>
      <rPr>
        <b/>
        <sz val="11"/>
        <rFont val="David"/>
        <family val="2"/>
        <charset val="177"/>
      </rPr>
      <t xml:space="preserve">  </t>
    </r>
    <r>
      <rPr>
        <sz val="11"/>
        <rFont val="David"/>
        <family val="2"/>
      </rPr>
      <t>כולל שיפוץ המרפסת ומדרגות</t>
    </r>
  </si>
  <si>
    <r>
      <t xml:space="preserve">בי"ס דמוקרטי- התאמת מבנה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בפארק</t>
    </r>
    <r>
      <rPr>
        <sz val="11"/>
        <rFont val="David"/>
        <family val="2"/>
        <charset val="177"/>
      </rPr>
      <t xml:space="preserve">  </t>
    </r>
    <r>
      <rPr>
        <b/>
        <sz val="11"/>
        <rFont val="David"/>
        <family val="2"/>
      </rPr>
      <t/>
    </r>
  </si>
  <si>
    <r>
      <t>הצטיידות גנ"י ילדים גליל ים מגרשים  406 ,404,302 303,</t>
    </r>
    <r>
      <rPr>
        <sz val="11"/>
        <rFont val="David"/>
        <family val="2"/>
      </rPr>
      <t>408</t>
    </r>
  </si>
  <si>
    <t>פרויקט ממשלתי המתוקצב ע"י המדינה במקביל לרשות. הביצוע העירוני מתעכב עקב הקפאת רמ"י.</t>
  </si>
  <si>
    <t>סל תכנון של תוכניות ופרויקטים, מדידות ותכנון ראשוני.</t>
  </si>
  <si>
    <t>העצמת הזכויות הנוספות לבנינים לצורך הגברת הכדאיות של ביצוע חיזוק מבנים. בדיקת מבנים קיימים להיתכנות תמ"א.</t>
  </si>
  <si>
    <t>הקמת צומת מרמזור- בן גוריון בר אילן</t>
  </si>
  <si>
    <t>תכנון וביצוע רמזור בצומת.</t>
  </si>
  <si>
    <t>צומת אלתרמן  אסתר ראב ואוריאל אופק</t>
  </si>
  <si>
    <t>הסדרת מעבר חצייה להולכי רגל ושינוי גיאומטרי בצומת.</t>
  </si>
  <si>
    <t>ליווי תהליכי שימור בעיר</t>
  </si>
  <si>
    <t>שדרוג שצ"פ ברחוב בארי</t>
  </si>
  <si>
    <t>תכנון וביצוע עבודות פיתוח גינון והשקיה ועבודות חשמל ותאורה. הפיתוח עקב בעיות ניקוז.</t>
  </si>
  <si>
    <t>תיקון תכנית הר 2029 - נווה עמל</t>
  </si>
  <si>
    <t xml:space="preserve">המשך עבודות פיתוח שצ"פ ("מערכות") במתחם אלוני ים הר' 2030 . </t>
  </si>
  <si>
    <t>מתנ"ס קהילתי  בשטח של כ-4000 מ"ר הכולל גלריה מקומית, ספרייה חדשה,  חדרי חוגים, מועדון לגמלאים ובית קפה כולל הצטיידות.</t>
  </si>
  <si>
    <r>
      <t xml:space="preserve">גנ"י נווה עמל ציפורן </t>
    </r>
    <r>
      <rPr>
        <sz val="11"/>
        <rFont val="David"/>
        <family val="2"/>
      </rPr>
      <t xml:space="preserve">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וחמניה</t>
    </r>
  </si>
  <si>
    <t>גנ"י ומעונות יום רח' הזמר העברי מתחם המסילה</t>
  </si>
  <si>
    <r>
      <t xml:space="preserve">ביכנ"ס  </t>
    </r>
    <r>
      <rPr>
        <sz val="11"/>
        <rFont val="David"/>
        <family val="2"/>
      </rPr>
      <t xml:space="preserve">הרצליה הירוקה  </t>
    </r>
    <r>
      <rPr>
        <sz val="11"/>
        <rFont val="David"/>
        <family val="2"/>
        <charset val="177"/>
      </rPr>
      <t xml:space="preserve">באלתרמן </t>
    </r>
  </si>
  <si>
    <t>תכנון ביכנ"ס גוש 6526 חלקה 281 באלתרמן בהרצליה הירוקה.</t>
  </si>
  <si>
    <t xml:space="preserve">עבודות שדרוג ושיקום -גינון השקייה ופיתוח ברחוב וינגייט - בקטע שבין קדושי השואה ועד כיכר דה שליט. </t>
  </si>
  <si>
    <t>שיפוץ משרדי לב העיר כולל מע"ש</t>
  </si>
  <si>
    <t>הקמת 2 מעונות יום בשכונת יד התשעה</t>
  </si>
  <si>
    <t>מתנס נוף ים</t>
  </si>
  <si>
    <t>החלפת מסנני אוויר במקלטים</t>
  </si>
  <si>
    <t>שדרוג עמודי תאורה</t>
  </si>
  <si>
    <t>מיול לפיקוח והצלה 2022</t>
  </si>
  <si>
    <t>ציוד הצלה ובטיחות 2022</t>
  </si>
  <si>
    <t>החלפת תאורה לתאורת לד באולמות הספורט</t>
  </si>
  <si>
    <t>מינהל חינוך</t>
  </si>
  <si>
    <t>פרויקט שיגור 70 לווינים בשיתוף עם 70 ערים ומועצות עירוניות. מימון מ. המדע. החזר סכום עודף.</t>
  </si>
  <si>
    <t>סה"כ מינהל חינוך</t>
  </si>
  <si>
    <t>המשך חידוש ציפוי מגרשי הספורט: זאב - מגרש תחתון, ויצמן, דור, יד התשעה, תיכון חדש. לפי סדרי עדיפויות.</t>
  </si>
  <si>
    <t>שיקום איצטדיון גורדון</t>
  </si>
  <si>
    <t>הצטיידות מרכז המוסיקה ביד התשעה</t>
  </si>
  <si>
    <t>הצטיידות ריהוט, ציוד נגינה ואביזרי הוראה במרכז המוסיקה לאחר שיפוץ והתאמת מבנה ביד התשעה . ראה תב"ר 20037 מינהל תפעול.</t>
  </si>
  <si>
    <t>אומדן כולל לפרוייקט</t>
  </si>
  <si>
    <t>מערכות מתקדמות לעיר חכמה כולל שו"ב מצלמות , ציוד נלווה ותשתיות מיחשוב.  2023 : צמתים בדרום העיר ,צמתים בתוואי הנדיב ובזבוטינסקי , גינות ציבוריות.</t>
  </si>
  <si>
    <t xml:space="preserve">פרוייקט אבטחת מידע וסייבר </t>
  </si>
  <si>
    <t>סה"כ מיחשוב ומע. מידע</t>
  </si>
  <si>
    <t>טיפול בפסולת אורגנית</t>
  </si>
  <si>
    <t>סה"כ איכות הסביבה</t>
  </si>
  <si>
    <t>הצטיידות 3 מבני גן ו-2 מעונות יום בגליל ים.</t>
  </si>
  <si>
    <t xml:space="preserve">תוספות שינויים ושיפורים שדרוג מערכות הליבה הח.לאוטומציה וציוד חומרה. בהתאם לבקשות מעת לעת. ב - 2023: השדרוג כולל בין היתר,  וואן קליק  , פיתוחים נוספים תהליכים באגף החינוך, מערכות חדשות בגני ילדים דיווחי גננות . </t>
  </si>
  <si>
    <t>רכש חד פעמי לתשתיות מיחשוב הכולל מדפי אחסון, שרתים , להבים  ועוד.</t>
  </si>
  <si>
    <t xml:space="preserve">הקמת תשתיות מחשוב </t>
  </si>
  <si>
    <t>שלב ב' של עבודות שיפוצים יסודיים כולל עבודות הנגשה, פיר מעלית ומעלית.</t>
  </si>
  <si>
    <t>תב"ר מסגרת.  גיבוש תוכנית לאיתור שטחים להקמת גינות כלבים ברחבי העיר בהתאם לבקשות תושבי העיר והקמתן.</t>
  </si>
  <si>
    <t>תוכנית אב לשילוט של כל סוגי השילוט בעיר ,החלפת עמודי שלטים לשלטים מחזירי אור ברחבי העיר  ושילוט במוס"ח.</t>
  </si>
  <si>
    <t>שדרוג תאורה במגרשי האצטדיון-הארת המגרשים בעוצמה טובה יותר החלפה לתאורת לד ,החלפת עמודים בחלק מהמקומות ומערכת בקרה לשליטה מרחוק. מימון מ. הספורט.</t>
  </si>
  <si>
    <t>פעילות חד פעמית בעקבות ממצאי סקר טבע עירוני. הפעילות כוללת: הקמה שיקום תמיכה בבע"ח וצמחיה וליווי אקולוגי לביצוע.</t>
  </si>
  <si>
    <t>עבודות שיפוץ במועדון הנוער (דידה) יוסף נבו 18 הכוללות : תקרות, רצפות, שרותים, שיפוץ בית הקפה, מערכות סאונד, הצטיידויות. מ. הפיס.</t>
  </si>
  <si>
    <t>משרד התרבות והספורט</t>
  </si>
  <si>
    <t>משרד  המדע</t>
  </si>
  <si>
    <t>הצעת התקציב הבלתי רגיל לשנת 2023</t>
  </si>
  <si>
    <t>העברה מתקציב רגיל 2022</t>
  </si>
  <si>
    <t>שנת 2023</t>
  </si>
  <si>
    <t>שנת  2023</t>
  </si>
  <si>
    <r>
      <t>בדיקת התכנות מתחמי פינוי בינוי ותכנון פרויקטים להתחדשות עירונית ופינוי בינוי.</t>
    </r>
    <r>
      <rPr>
        <sz val="11"/>
        <rFont val="David"/>
        <family val="2"/>
      </rPr>
      <t xml:space="preserve"> איחוד עם תב"ר 1674. לווי ובקרת העיריה ליוזמות ותכניות שמקודמות ע"י חברות פרטיות.</t>
    </r>
  </si>
  <si>
    <r>
      <t xml:space="preserve">תכנון מתחם צומת כדורי לפינוי ובינוי.בשלב הנעת התכנון לשלב סטטוטורי. </t>
    </r>
    <r>
      <rPr>
        <sz val="11"/>
        <rFont val="David"/>
        <family val="2"/>
      </rPr>
      <t>מימון מ. הבינוי.</t>
    </r>
  </si>
  <si>
    <t>פיתוח מתחם "בזק" בו ייבנה בניין משרדים שבין היתר יאוכלס אגף הרווחה. כולל הריסת מבנה בזק.</t>
  </si>
  <si>
    <t>מקורות מימון - עד 31.12.2022 מימוש תקציב</t>
  </si>
  <si>
    <t>ינואר 2022</t>
  </si>
  <si>
    <t>פברואר 2022</t>
  </si>
  <si>
    <t>מרץ 2022</t>
  </si>
  <si>
    <t>אפריל 2022</t>
  </si>
  <si>
    <t>מאי 2022</t>
  </si>
  <si>
    <t>יוני 2022</t>
  </si>
  <si>
    <t>יולי 2022</t>
  </si>
  <si>
    <t>אוגוסט 2022</t>
  </si>
  <si>
    <t>עד 31.12.2022</t>
  </si>
  <si>
    <t>יתרה למימוש</t>
  </si>
  <si>
    <r>
      <t>מתחם הגאון מוילנא חתם סופר</t>
    </r>
    <r>
      <rPr>
        <b/>
        <sz val="11"/>
        <rFont val="David"/>
        <family val="2"/>
      </rPr>
      <t xml:space="preserve"> (*) נסגר 2022</t>
    </r>
  </si>
  <si>
    <r>
      <t xml:space="preserve">מתחם יהודה המכבי וזוהר טל </t>
    </r>
    <r>
      <rPr>
        <b/>
        <sz val="11"/>
        <rFont val="David"/>
        <family val="2"/>
      </rPr>
      <t>(*) נסגר 2022</t>
    </r>
  </si>
  <si>
    <t>עבודה סלילה, גינון ותאורה במתחם. 2022: סיום ביצוע שלב א' ותכנון דרך שרות מנחם בגין.</t>
  </si>
  <si>
    <t>ליווי ותכנון יועץ רמזורים לעדכון מערכת בקרת רמזורים ברחבי העיר עקב צמתים ורמזורים חדשים. 2022: תכנון 20 רמזורים חדשים ,יועץ רמזורים, רמזור בן גוריון בר אילן. עדכון רמזורים לתיעדוף הולכי הרגל.</t>
  </si>
  <si>
    <r>
      <t>תוכנית אסטרטגית להתייעלות עירונית במרכז העיר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ובשכונות </t>
    </r>
    <r>
      <rPr>
        <b/>
        <sz val="11"/>
        <rFont val="David"/>
        <family val="2"/>
      </rPr>
      <t>(*) נסגר 2022</t>
    </r>
  </si>
  <si>
    <t>הסדרת שבילי גישה רגלית וכניסת כלי רכב לחניות,שביל פינוי אשפה,פיתוח כולל גינון ותאורה.ב-2021 מתוכנן מרכז "מייקרים" בשיתוף אדריכלית השימור. יבוצע לאחר קבלת היתר לבניינים.</t>
  </si>
  <si>
    <t>מיחשוב כלל התשתיות הקיימות במרחב הציבורי. ב - 2022 : מיפוי ואיסוף נתונים.</t>
  </si>
  <si>
    <t>תכנון ראשוני של כל המתחמים בעיר לבחינת פוטציאל התחדשות.</t>
  </si>
  <si>
    <t>פיתוח הרחוב. ב - 2022: תכנון.</t>
  </si>
  <si>
    <t>הסדרת צומת רחובות אל על נורדאו כולל כיכר עדכון תב"ע. ב - 2022 : תכנון ראשוני.</t>
  </si>
  <si>
    <t>תוספות</t>
  </si>
  <si>
    <t>הקצאות 10/2022</t>
  </si>
  <si>
    <t>הקטנות</t>
  </si>
  <si>
    <t>טרם</t>
  </si>
  <si>
    <r>
      <t xml:space="preserve">מתחם המשתלה  תב"ע 1874 </t>
    </r>
    <r>
      <rPr>
        <b/>
        <sz val="11"/>
        <rFont val="David"/>
        <family val="2"/>
      </rPr>
      <t>(*) נסגר 2022</t>
    </r>
  </si>
  <si>
    <t>השלמת עבודות גינון ותיקונים במתחם. ח-ן סופיים.</t>
  </si>
  <si>
    <r>
      <rPr>
        <strike/>
        <sz val="11"/>
        <rFont val="David"/>
        <family val="2"/>
      </rPr>
      <t>כצלנסון-</t>
    </r>
    <r>
      <rPr>
        <sz val="11"/>
        <rFont val="David"/>
        <family val="2"/>
        <charset val="177"/>
      </rPr>
      <t xml:space="preserve">פיתוח </t>
    </r>
    <r>
      <rPr>
        <b/>
        <sz val="11"/>
        <rFont val="David"/>
        <family val="2"/>
      </rPr>
      <t xml:space="preserve">  פארק רבין (*) עדכון שם</t>
    </r>
  </si>
  <si>
    <r>
      <t xml:space="preserve">מתחם נוריות  </t>
    </r>
    <r>
      <rPr>
        <b/>
        <sz val="11"/>
        <rFont val="David"/>
        <family val="2"/>
      </rPr>
      <t>(*) נסגר 2022</t>
    </r>
  </si>
  <si>
    <t>המשך עבודות פיתוח במתחם הרחובות הנוריות, אנצו סירני , דב גרונר , שלמה בן יוסף , חביבה רייך. ח-ן סופיים.</t>
  </si>
  <si>
    <r>
      <t xml:space="preserve">רחוב בר כוכבא </t>
    </r>
    <r>
      <rPr>
        <b/>
        <sz val="11"/>
        <rFont val="David"/>
        <family val="2"/>
      </rPr>
      <t>(*) נסגר 2022</t>
    </r>
  </si>
  <si>
    <t>פיתוח תשתיות. ח-ן סופיים.</t>
  </si>
  <si>
    <t xml:space="preserve">המשך עבודות פיתוח שצ"פ במתחם אלוני ים הר' 2030 . </t>
  </si>
  <si>
    <r>
      <t xml:space="preserve">שצ"פ רבי עקיבא דרומה (השביל הירוק) </t>
    </r>
    <r>
      <rPr>
        <b/>
        <sz val="11"/>
        <rFont val="David"/>
        <family val="2"/>
      </rPr>
      <t>(*) נסגר 2022</t>
    </r>
  </si>
  <si>
    <t>התקנת קירוי קשיח במגרשי ספורט .</t>
  </si>
  <si>
    <r>
      <t xml:space="preserve">קו ניקוז שער הים </t>
    </r>
    <r>
      <rPr>
        <b/>
        <sz val="11"/>
        <rFont val="David"/>
        <family val="2"/>
      </rPr>
      <t>(*) נסגר 2022</t>
    </r>
  </si>
  <si>
    <t>עבודות פיתוח כולל קו ניקוז רחוב שער הים. ח-ן סופיים.</t>
  </si>
  <si>
    <r>
      <t xml:space="preserve">פיתוח חורשת הפרחים </t>
    </r>
    <r>
      <rPr>
        <b/>
        <sz val="11"/>
        <rFont val="David"/>
        <family val="2"/>
      </rPr>
      <t>(*) נסגר 2022</t>
    </r>
  </si>
  <si>
    <t xml:space="preserve">פיתוח שצ"פ בגבעת הפרחים כולל הנגשה. ח-ן סופיים. </t>
  </si>
  <si>
    <r>
      <t xml:space="preserve">גנ"י נווה עמל ציפורן </t>
    </r>
    <r>
      <rPr>
        <strike/>
        <sz val="11"/>
        <rFont val="David"/>
        <family val="2"/>
      </rPr>
      <t>מוריה</t>
    </r>
    <r>
      <rPr>
        <sz val="11"/>
        <rFont val="David"/>
        <family val="2"/>
      </rPr>
      <t xml:space="preserve"> </t>
    </r>
    <r>
      <rPr>
        <b/>
        <sz val="11"/>
        <rFont val="David"/>
        <family val="2"/>
      </rPr>
      <t>(*) עדכון וחמניה</t>
    </r>
  </si>
  <si>
    <t xml:space="preserve">תוספת מבנה של 6 כיתות    ואולם ספורט חדש בבי"ס ויצמן. ב - 2022: תכנון. </t>
  </si>
  <si>
    <r>
      <t xml:space="preserve">השלמת 6 כיתות בנבון </t>
    </r>
    <r>
      <rPr>
        <b/>
        <sz val="11"/>
        <rFont val="David"/>
        <family val="2"/>
      </rPr>
      <t>(*) נסגר 2022</t>
    </r>
  </si>
  <si>
    <r>
      <t xml:space="preserve">אולם ספורט בי"ס יוחנני </t>
    </r>
    <r>
      <rPr>
        <b/>
        <sz val="11"/>
        <rFont val="David"/>
        <family val="2"/>
      </rPr>
      <t>(*) עדכון ובניית כיתות וגנ"י</t>
    </r>
  </si>
  <si>
    <t>תכנון וביצוע תוספת 8 כיתות בי"ס ברנר ובניית אולם ספורט. ב - 2022 : תכנוון .</t>
  </si>
  <si>
    <t>תכנון ביכנ"ס גוש 6536 חלקה 964 הרצליה הירוקה.</t>
  </si>
  <si>
    <t>תב"ר מסגרת.  גיבוש תוכנית לאיתור שטחים להקמת גינות כלבים נוספות לאור בקשות תושבי העיר והקמתן.</t>
  </si>
  <si>
    <t>שינוי מימון. מ. להגנת הסביבה. התב"ר לסגירה.</t>
  </si>
  <si>
    <t>מימון מ. החינוך. שינוי מימון. התב"ר לסגירה.</t>
  </si>
  <si>
    <r>
      <t xml:space="preserve">שיפוץ המקווה העירוני </t>
    </r>
    <r>
      <rPr>
        <b/>
        <sz val="11"/>
        <rFont val="David"/>
        <family val="2"/>
      </rPr>
      <t>(*) נסגר 2022</t>
    </r>
  </si>
  <si>
    <r>
      <t xml:space="preserve">פרויקטים קטנים </t>
    </r>
    <r>
      <rPr>
        <strike/>
        <sz val="11"/>
        <rFont val="David"/>
        <family val="2"/>
      </rPr>
      <t>רזרבה אגפית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 xml:space="preserve">(*) מינהל התפעול </t>
    </r>
    <r>
      <rPr>
        <strike/>
        <sz val="11"/>
        <rFont val="David"/>
        <family val="2"/>
      </rPr>
      <t>מינהלית</t>
    </r>
  </si>
  <si>
    <r>
      <t xml:space="preserve"> התקנת גופי תאורה בטכנולוגיה מתקדמת במגרשי הספורט </t>
    </r>
    <r>
      <rPr>
        <b/>
        <sz val="11"/>
        <rFont val="David"/>
        <family val="2"/>
      </rPr>
      <t>(*) נסגר 2022</t>
    </r>
  </si>
  <si>
    <t xml:space="preserve">התקנת גופי תאורה בטכנולוגיה מתקדמת במגרשי ספורט. </t>
  </si>
  <si>
    <r>
      <t xml:space="preserve">פיתוח חוף רחצה "חוף הכוכבים" </t>
    </r>
    <r>
      <rPr>
        <b/>
        <sz val="11"/>
        <rFont val="David"/>
        <family val="2"/>
      </rPr>
      <t>(*) נסגר 2022</t>
    </r>
  </si>
  <si>
    <r>
      <t>פיר מעלית ומעלית בנין המועצה הדתית</t>
    </r>
    <r>
      <rPr>
        <b/>
        <sz val="11"/>
        <rFont val="David"/>
        <family val="2"/>
        <charset val="177"/>
      </rPr>
      <t xml:space="preserve"> (*) עדכון כולל שיפוץ המרפסת ומדרגות</t>
    </r>
  </si>
  <si>
    <t xml:space="preserve">עבודות פיתוח השטח בין שכונת יד התשעה לקיר האקוסטי של כביש 531, כולל פיתוח השצ"פ. </t>
  </si>
  <si>
    <r>
      <t xml:space="preserve">שדרוג גן דפנה אילת </t>
    </r>
    <r>
      <rPr>
        <b/>
        <sz val="11"/>
        <rFont val="David"/>
        <family val="2"/>
      </rPr>
      <t>(*) נסגר 2022</t>
    </r>
  </si>
  <si>
    <t>החלפת רכבים קיימים ורכישת תוספת רכבים עפ"י רשימה שתאושר ע"י הנהלת העיר.</t>
  </si>
  <si>
    <t xml:space="preserve">עבודות שדרוג ושיקום לאורך כל רחוב וינגייט. </t>
  </si>
  <si>
    <t>בניית 3 כיתות (קרוואנים), מעבדות, תכנון תוספת כיתות. מימון מ. החינוך.</t>
  </si>
  <si>
    <r>
      <t xml:space="preserve">בי"ס דמוקרטי- התאמת מבנה </t>
    </r>
    <r>
      <rPr>
        <b/>
        <sz val="11"/>
        <rFont val="David"/>
        <family val="2"/>
      </rPr>
      <t xml:space="preserve"> בפארק</t>
    </r>
    <r>
      <rPr>
        <sz val="11"/>
        <rFont val="David"/>
        <family val="2"/>
        <charset val="177"/>
      </rPr>
      <t xml:space="preserve">  </t>
    </r>
    <r>
      <rPr>
        <b/>
        <sz val="11"/>
        <rFont val="David"/>
        <family val="2"/>
      </rPr>
      <t>(*) עדכון שם</t>
    </r>
    <r>
      <rPr>
        <sz val="11"/>
        <rFont val="David"/>
        <family val="2"/>
        <charset val="177"/>
      </rPr>
      <t xml:space="preserve"> </t>
    </r>
    <r>
      <rPr>
        <strike/>
        <sz val="11"/>
        <rFont val="David"/>
        <family val="2"/>
      </rPr>
      <t>בחט"ב סמדר</t>
    </r>
  </si>
  <si>
    <t xml:space="preserve">עבודות שיפוצים וחזיתות מבנה ביה"ס בשטח של כ - 2,650 מ"ר, עבודות פיתוח ותשתיות מים וביוב. </t>
  </si>
  <si>
    <t>עבודות תשתית ותאורה בעקבות עבודות ח"ח של הטמנת הרשת העילית.</t>
  </si>
  <si>
    <t xml:space="preserve"> תקרות אקוסטיות אגף רווחה בן גוריון 14-16,קומה ב'.</t>
  </si>
  <si>
    <t>אגף רווחה. הסבת אולם למעון יום של עמותת אלווין.</t>
  </si>
  <si>
    <t>שיפוץ מטבחים במוסדות רווחה שונים, הצטיידות תתוקצב ע"י אגף הרווחה.</t>
  </si>
  <si>
    <t>שדרוג תאורה במגרשי האצטדיון-הארת המגרשים בעוצמה טובה יותר החלפה לתאורת לד ,החלפת עמודים בחלק מהמקומות ומערכת בקרה לשליטה מרחוק.</t>
  </si>
  <si>
    <t>שיקום האיצטדיון אתלטיקה קלה בבי"ס גורדון . השיקום כולל שיפוץ היציע והמחסן והתקנת משטח ייעודי לא"ק במסלולי הריצה והקפיצה.</t>
  </si>
  <si>
    <t>עבודות שיפוץ במועדון הנוער יוסף נבו 18 הכוללות : תקרות, רצפות, שרותים, שיפוץ בית הקפה, מערכות סאונד, הצטיידויות. מ. הפיס.</t>
  </si>
  <si>
    <t>כולל תבר 2240</t>
  </si>
  <si>
    <r>
      <t>הצטידות חדשה בי"ס לב טוב</t>
    </r>
    <r>
      <rPr>
        <b/>
        <sz val="11"/>
        <rFont val="David"/>
        <family val="2"/>
      </rPr>
      <t xml:space="preserve"> (*) נסגר 2022</t>
    </r>
  </si>
  <si>
    <r>
      <t xml:space="preserve">נגישות אקוסטית בי"ס </t>
    </r>
    <r>
      <rPr>
        <b/>
        <sz val="11"/>
        <rFont val="David"/>
        <family val="2"/>
      </rPr>
      <t>(*) נסגר 2021</t>
    </r>
  </si>
  <si>
    <r>
      <t>הצטידות גנ"י חדשים  גליל ים מגרש301/2</t>
    </r>
    <r>
      <rPr>
        <b/>
        <sz val="11"/>
        <rFont val="David"/>
        <family val="2"/>
      </rPr>
      <t xml:space="preserve"> (*) נסגר 2022</t>
    </r>
  </si>
  <si>
    <t>לקראת סגירה.</t>
  </si>
  <si>
    <r>
      <t>הצטיידות מעבדות תיכון ראשונים</t>
    </r>
    <r>
      <rPr>
        <b/>
        <sz val="11"/>
        <rFont val="David"/>
        <family val="2"/>
      </rPr>
      <t xml:space="preserve"> (*) נסגר 2022</t>
    </r>
  </si>
  <si>
    <t xml:space="preserve">מימון מ. החינוך. הקטנת תקציב . מרחב למידה הנדיב לא לביצוע. </t>
  </si>
  <si>
    <r>
      <t xml:space="preserve">הצטיידות גנ"י ילדים גליל ים </t>
    </r>
    <r>
      <rPr>
        <b/>
        <sz val="11"/>
        <rFont val="David"/>
        <family val="2"/>
      </rPr>
      <t>עדכון (*)</t>
    </r>
    <r>
      <rPr>
        <sz val="11"/>
        <rFont val="David"/>
        <family val="2"/>
        <charset val="177"/>
      </rPr>
      <t xml:space="preserve"> (מגרשים 303,302,404,</t>
    </r>
    <r>
      <rPr>
        <b/>
        <sz val="11"/>
        <rFont val="David"/>
        <family val="2"/>
      </rPr>
      <t>406,408</t>
    </r>
    <r>
      <rPr>
        <sz val="11"/>
        <rFont val="David"/>
        <family val="2"/>
        <charset val="177"/>
      </rPr>
      <t>)</t>
    </r>
  </si>
  <si>
    <t>הצטיידות  גנ"י חדשים  כולל  ח"מ במקביל לבניה .  פתיחת גנים במבנים קיימים , כולל שינוי הנובע מייחודיות גנ"י.</t>
  </si>
  <si>
    <t>גדר בגובה 4 מ' סביב מגרשי אימונים במתחם האצטדיון מול משרדי תבל . גובה הגדר עפ"י דרישת ההתאחדות.</t>
  </si>
  <si>
    <t>המשך חידוש ציפוי מגרשי הספורט: זאב - מגרש תחתון, בר אילן, היובל, ברנר ויוחנני. לפי סדרי עדיפויות.</t>
  </si>
  <si>
    <t>הקמה ושיפוץ רצפות פרקט: חידוש רצפה באולם תיכון חדש , חידוש רצפה אולם בנווה ישראל וחידוש רצפה באולם היובל.</t>
  </si>
  <si>
    <r>
      <t xml:space="preserve">שיפוץ מבנה מועדון נוער הכוכב השמיני </t>
    </r>
    <r>
      <rPr>
        <b/>
        <sz val="11"/>
        <rFont val="David"/>
        <family val="2"/>
      </rPr>
      <t>(*) נסגר 2022</t>
    </r>
  </si>
  <si>
    <t xml:space="preserve">הצטיידות אולמות ספורט הנגיד, מגרש 406,408 </t>
  </si>
  <si>
    <t>הצטיידות אולמות ספורט  בבי"ס הנגיד, מגרש 406 ו - 408 במתחם גליל ים.</t>
  </si>
  <si>
    <t>הקמת מתקן "נינג'ה קיוב" או בפארק או באפולוניה לרבות פיתוח המשטח.</t>
  </si>
  <si>
    <r>
      <t xml:space="preserve">תכנון תב"ע הסדרת ייעודי קרקע לפיתוח טיילת החוף </t>
    </r>
    <r>
      <rPr>
        <b/>
        <sz val="11"/>
        <rFont val="David"/>
        <family val="2"/>
      </rPr>
      <t>(*) נסגר 2022</t>
    </r>
  </si>
  <si>
    <t>תכנון להסדרת ייעודיי קרקע בטיילת החוף. קידום התב"ע בחלק של שדרוג תחנת השאיבה ודרכי הגישה אליה. איחוד עם תב"ר 1519.</t>
  </si>
  <si>
    <r>
      <t xml:space="preserve">תכנון תב"ע כיכר דה שליט </t>
    </r>
    <r>
      <rPr>
        <b/>
        <sz val="11"/>
        <rFont val="David"/>
        <family val="2"/>
      </rPr>
      <t>(*) נסגר 2022</t>
    </r>
  </si>
  <si>
    <t>הכנת תב"ע . איחוד עם תב"ר 1519.</t>
  </si>
  <si>
    <t>תוספות שינויים ושיפורים שדרוג מערכות הליבה הח.לאוטומציה וציוד חומרה. בהתאם לבקשות מעת לעת. ב - 2022: השדרוג כולל מערכת CRM.</t>
  </si>
  <si>
    <r>
      <t xml:space="preserve">הקמת אתר עירוני , פורטל </t>
    </r>
    <r>
      <rPr>
        <b/>
        <sz val="11"/>
        <rFont val="David"/>
        <family val="2"/>
      </rPr>
      <t>ומע. לניהול פניות (*) עדכון שם</t>
    </r>
  </si>
  <si>
    <t>תוכנית הצטיידות למיחשוב כל מוס"ח .החלפת מחשבים ראוטרים וציוד מיחשוב. מימון מפעל הפיס.</t>
  </si>
  <si>
    <t>סל הצטיידות מיחשוב היקפי לקידום למידה דיגיטלית מרחוק בבי"ס. ציוד מיחשוב מחודש. מימון מ. החינוך.</t>
  </si>
  <si>
    <t>תוכנית פיתוח שנתית 2022 : ריכוז לפי מינהל/אגפים/יחידות</t>
  </si>
  <si>
    <t>סה"כ תקציב שמומש/ימומש עד 31.12.22</t>
  </si>
  <si>
    <r>
      <t xml:space="preserve">מקורות מימון - </t>
    </r>
    <r>
      <rPr>
        <b/>
        <sz val="10"/>
        <rFont val="David"/>
        <family val="2"/>
      </rPr>
      <t>סה"כ</t>
    </r>
    <r>
      <rPr>
        <b/>
        <sz val="10"/>
        <rFont val="David"/>
        <family val="2"/>
        <charset val="177"/>
      </rPr>
      <t xml:space="preserve"> מימוש תקציב עד 31.12.22</t>
    </r>
  </si>
  <si>
    <t>התקציב הבלתי רגיל לשנת 2022</t>
  </si>
  <si>
    <t xml:space="preserve">הצעת התקציב הבלתי רגיל לשנת 2022  אושרה במועצת העיר בחודש דצמבר 2021 . </t>
  </si>
  <si>
    <t xml:space="preserve">להלן נתוני ביצוע באלפי ₪ של התקציב הבלתי רגיל לשנת 2022 : </t>
  </si>
  <si>
    <t>ביצוע כולל צפי עד 31.12.2022</t>
  </si>
  <si>
    <t>מימוש</t>
  </si>
  <si>
    <t>מימוש מקורות מימון שוטף</t>
  </si>
  <si>
    <t>תקציב מאושר</t>
  </si>
  <si>
    <t>סה"כ ביצוע עד 31.12.2021</t>
  </si>
  <si>
    <t>אומדן לביצוע  2022 מעודכן</t>
  </si>
  <si>
    <t>יתרת תקציב פנויה 31.12.21</t>
  </si>
  <si>
    <t>תקציב מעודכן  נדרש 2022</t>
  </si>
  <si>
    <t>תקציב שאושר לביצוע בתוכנית הפיתוח 2022</t>
  </si>
  <si>
    <t>תקציב  נדרש מעבר לתוכנית הפיתוח 2022</t>
  </si>
  <si>
    <t xml:space="preserve">מימוש 2/2022 
 </t>
  </si>
  <si>
    <t xml:space="preserve">מימוש 3/2022 
 </t>
  </si>
  <si>
    <t xml:space="preserve">מימוש 4/2022 
 </t>
  </si>
  <si>
    <t>מימוש 5/2022</t>
  </si>
  <si>
    <t xml:space="preserve">מימוש 7/2022 </t>
  </si>
  <si>
    <t xml:space="preserve">מימוש נוסף 7/2022 </t>
  </si>
  <si>
    <t xml:space="preserve">מימוש 8/2022 </t>
  </si>
  <si>
    <t xml:space="preserve">מימוש 9/2022 </t>
  </si>
  <si>
    <t xml:space="preserve">מימוש 10/2022 </t>
  </si>
  <si>
    <t>6/19.6.22</t>
  </si>
  <si>
    <t>61/12.7.22</t>
  </si>
  <si>
    <t>תכנון ביצוע תוכנית אב שבילי אופניים</t>
  </si>
  <si>
    <t>הקטנת תקציב . מימון מ. הפיס שלא אושר . שינוי מימון  מ. הפיס לקע"פ.</t>
  </si>
  <si>
    <t>הקטנת היקף .הקטנת תקציב .</t>
  </si>
  <si>
    <t>2/20.2.22</t>
  </si>
  <si>
    <t>56/15.3.22</t>
  </si>
  <si>
    <t>תוספת מימון מ. החינוך. קדם מימון.</t>
  </si>
  <si>
    <t>3/20.3.22</t>
  </si>
  <si>
    <t>57/12.4.22</t>
  </si>
  <si>
    <t>בי"ס בן גוריון</t>
  </si>
  <si>
    <t>הקטנה. ח-ן סופיים.</t>
  </si>
  <si>
    <t>שינוי מימון מ. החינוך. קדם מימון.</t>
  </si>
  <si>
    <t>4/10.4.22</t>
  </si>
  <si>
    <t>58/17.5.22</t>
  </si>
  <si>
    <t xml:space="preserve">תוספת. מימון מ. הספורט. </t>
  </si>
  <si>
    <t>5/26.5.25</t>
  </si>
  <si>
    <t>60/28.6.22</t>
  </si>
  <si>
    <t xml:space="preserve">תוספת. מימון מ. החינוך. </t>
  </si>
  <si>
    <t>שינוי מימון. מימון מ. החינוך. קדם מימון.</t>
  </si>
  <si>
    <t xml:space="preserve">הקמת תחנות הצלה חוף אכדיה צפון וחוף סידני עלי </t>
  </si>
  <si>
    <t xml:space="preserve">תוספת. </t>
  </si>
  <si>
    <t>ביכנ"ס באלתרמן. תוספת. עדכון אומדן.</t>
  </si>
  <si>
    <t>תוספת תקציב. הרשאה מ. החינוך שלא התקבלה .</t>
  </si>
  <si>
    <t>ביס יסודי 18 כיתות שטח 304 גליל ים א</t>
  </si>
  <si>
    <t xml:space="preserve">שינוי מימון. מימון מ. החינוך. קדם מימון בי"ס יסודי. </t>
  </si>
  <si>
    <t>תוספת תקציב 2022 הקדמה מ - 2023.הגדלת היקף הפרויקט ..</t>
  </si>
  <si>
    <t>הקטנת תקציב. דחייה ל - 2023.</t>
  </si>
  <si>
    <t>שינוי מימון סכום שתוקצב ב - 2021.</t>
  </si>
  <si>
    <t>7/24.7.22</t>
  </si>
  <si>
    <t>תוספת תקציב 2022 הקדמה מ - 2023.</t>
  </si>
  <si>
    <t>תוספת תקציב 2022 הקדמה מ - 2023.הגדלת היקף הפרויקט .</t>
  </si>
  <si>
    <t>תוספת תקציב 2022 הקדמה מ - 2023.מימון מ.החינוך חט"ב טרם התקבל.</t>
  </si>
  <si>
    <t>9/24.8.22</t>
  </si>
  <si>
    <t>שינוי מימון. תקבול מ. החינוך .</t>
  </si>
  <si>
    <t>עדכון אומדן ותוספת תקציב 2022. עבודות פיתוח מערך שבילים רחובות העצמאות  הרב גורן .</t>
  </si>
  <si>
    <t>1/16.1.21</t>
  </si>
  <si>
    <t>54/8.2.22</t>
  </si>
  <si>
    <t>חדש. הכשרת מבנה בנדיב 2 למוזיאון אלי כהן. מימון מ.רה"מ.</t>
  </si>
  <si>
    <t>תוספת. מימון מ. החינוך.  הנגשת גן פטל.</t>
  </si>
  <si>
    <t>התאמת מבנה לב העיר ל"מרכז מטרה"</t>
  </si>
  <si>
    <t>חדש. עבודות התאמת מבנה עיריה ל"מרכז מטרה".</t>
  </si>
  <si>
    <t>תוספת. מימון מ. החינוך. קדם מימון.</t>
  </si>
  <si>
    <t>תוספת . סל עבודות פיתוח  חופי רחצה והיערכות לקראת עונת הרחצה.</t>
  </si>
  <si>
    <t>הקטנה . עדכון רשימת הרכבים .</t>
  </si>
  <si>
    <t>עבודות תאורה ברחובות עקב הטמנת קווי החשמל מתחת לקרקע</t>
  </si>
  <si>
    <t>חדש. עבודות תאורה ברחובות לפי רשימה עקב הטמנת ח"ח של קווי חשמל מתחת לקרקע .</t>
  </si>
  <si>
    <t>58/17.522</t>
  </si>
  <si>
    <t>תוספת. עבודות כיבוי אש לצורך רישוי עסק למוזיאון.</t>
  </si>
  <si>
    <t>הקטנת תקציב. ראה תב"ר 20051 שדרוג רחוב סוקולוב.</t>
  </si>
  <si>
    <t>הקטנת תקציב. ביצוע מתוכנן ל - 2023.</t>
  </si>
  <si>
    <t>תוספת. תקציב מסגרת של עבודות במוס"ח לרבות שיפוצים יסודיים, התאמת מבנים ושדרוג גנ"י.</t>
  </si>
  <si>
    <t>תוספת.עבודות תאורה ברחובות לפי רשימה עקב הטמנת ח"ח של קווי חשמל מתחת לקרקע.</t>
  </si>
  <si>
    <t>חדש. עבודות החלפת מדרכות , תאורה ,גינון והשקייה בקטע פינסקר-הנדיב.</t>
  </si>
  <si>
    <t>שיפוץ משרדי לב העיר והקמת מעון לעמותת אלווין</t>
  </si>
  <si>
    <t>חדש. עבודות במשרדי לב העיר  כולל מ. יום לאנשים עם מוגבלויות כולל החלפת מערכות מיזוג.</t>
  </si>
  <si>
    <t>תוספת. תקציב מסגרת של עבודות במוס"ח לרבות שיפוצים יסודיים, התאמת מבנים ושדרוג גנ"י. בי"ס וולפסון, גנ"י עצמון,אגוז וארז. מימון מ. החינוך.</t>
  </si>
  <si>
    <t>תוספת. עבודות במשרדי לב העיר  כולל מ. יום לאנשים עם מוגבלויות כולל החלפת מערכות מיזוג.</t>
  </si>
  <si>
    <t>פרויקטים קטנים מינהל התפעול</t>
  </si>
  <si>
    <t>שינוי מימון. מ. הפנים שיפוץ מחסן חרום.</t>
  </si>
  <si>
    <t>חדש.עבודות שדרוג מערך מיזוג אוויר בנין עיריה שער העיר עקב תקלות רבות.</t>
  </si>
  <si>
    <t>הגדלת היקף פרויקט לביצוע 2022. מימון מ. הספורט.</t>
  </si>
  <si>
    <t>הגדלת היקף פרויקט לביצוע 2022. שיפוצים שונים כולל יבילים ועבודות במעבדה בתיכון היובל.</t>
  </si>
  <si>
    <t>בניית כיתות חינוך מיוחד</t>
  </si>
  <si>
    <t>חדש. הסבת מבנה גנים ל- 6 כיתות  בי"ס ח"מ כולל הצטיידות.</t>
  </si>
  <si>
    <t>תוספת תקציב 2022.</t>
  </si>
  <si>
    <t>הגדלת היקף פרויקט לביצוע 2022. תקבולים מ. החינוך שיפוצי קיץ-מפגעי בטיחות.</t>
  </si>
  <si>
    <t xml:space="preserve">התקנה שדרוג מזגנים במוס"ח   ועיריה </t>
  </si>
  <si>
    <t>תוספת תקציב 2022 23.הגדלת היקף הפרויקט . סל עבודות.</t>
  </si>
  <si>
    <t>הקטנת תקציב והיקף פרויקט.</t>
  </si>
  <si>
    <t>תוכ. אב רב שנתית שיפוצים מוס"ח 2021  ואילך.</t>
  </si>
  <si>
    <t>שינוי מימון מ. החינוך. הרשאה מבנה יביל תיכון חדש הסבה ליביל תבר 20054.</t>
  </si>
  <si>
    <t>שיפוץ משרדי לב העיר כולל מעש</t>
  </si>
  <si>
    <t>תוספת. עבודות במשרדי לב העיר  כולל מ. יום לאנשים עם מוגבלויות. מימון קרן שלם.</t>
  </si>
  <si>
    <t>הקטנת תקציב.שינוי תכנון ומיקום נדרש תקציב להסבת כיתות בי"ס בפארק לכיתות ח"מ.</t>
  </si>
  <si>
    <t>הקמת 2 מעונות יום בשכונת יד התשעה כולל הצטיידות</t>
  </si>
  <si>
    <t>חדש. הקמת 2 מעונות יום זיסו 12 שכונת יד התשעה.</t>
  </si>
  <si>
    <t>עדכון אומדן ותוספת תקציב 2022. עבודות שיפוץ הקונסבטוריון כ - 1,000 מ"ר ב - 2 קומות בשכונת יד התשעה.</t>
  </si>
  <si>
    <t>עדכון אומדן ותוספת תקציב 2022. עבודות במשרדי לב העיר  כולל מ. יום לאנשים עם מוגבלויות.</t>
  </si>
  <si>
    <t>תוספת. עיצוב מרחבי למידה שמואל הנגיד, שז"ר, נוף ים. מימון מ. החינוך.</t>
  </si>
  <si>
    <t>הצטיידות גנ"י ילדים גליל ים עדכון (*) (מגרשים 303,302,404,406,408)</t>
  </si>
  <si>
    <t>שיקום אצטדיון גורדון</t>
  </si>
  <si>
    <t>עדכון אומדן ותוספת תקציב 2022. שיקום האיצטדיון אתלטיקה קלה בבי"ס גורדון .</t>
  </si>
  <si>
    <t xml:space="preserve">תוספת תקציב 2022. מערכות מתקדמות לעיר חכמה כולל שו"ב מצלמות , ציוד נלווה ותשתיות מיחשוב. </t>
  </si>
  <si>
    <t>תוספת.</t>
  </si>
  <si>
    <t>ועדה 1 / 16.1.22</t>
  </si>
  <si>
    <t>ועדה 2 / 20.2.22</t>
  </si>
  <si>
    <t>ועדה 3 / 20.3.22</t>
  </si>
  <si>
    <t>ועדה 4 / 10.4.22</t>
  </si>
  <si>
    <t>ועדה 5 / 26.5.22</t>
  </si>
  <si>
    <t>ועדה 6 / 19.6.22</t>
  </si>
  <si>
    <t>ועדה 8 / 24.7.22</t>
  </si>
  <si>
    <t>ועדה 9 / 21.7.22</t>
  </si>
  <si>
    <t>פער (טעות תבר 20052)</t>
  </si>
  <si>
    <t>מקורות מימון - סה"כ מימוש תקציב עד 31.12.22</t>
  </si>
  <si>
    <t xml:space="preserve">מימוש עד 31.12.2022 </t>
  </si>
  <si>
    <t>64/20.9.22</t>
  </si>
  <si>
    <t>11/2.10.22</t>
  </si>
  <si>
    <t>הקדמת תקציב מ - 2023.</t>
  </si>
  <si>
    <t>הקטנת תקציב  מ. הרווחה  תקבול סופי. סגירת תב"ר והחזרת 1,358 ₪ עודפים לקרנות הרשות.</t>
  </si>
  <si>
    <t>ועדה 11 / 2.10.22</t>
  </si>
  <si>
    <t>מקורות מימון סה"כ מימוש תקציב עד 31.12.22</t>
  </si>
  <si>
    <t>תקציב מעבר למסגרת תוכנית הפיתוח   כולל צפי עד 31.12.2022</t>
  </si>
  <si>
    <t>סה"כ תקציב שמומש/ימומש עד 31.12.2022</t>
  </si>
  <si>
    <t>מקורות מימון - סה"כ מימוש תקציב עד 31.12.2022</t>
  </si>
  <si>
    <t>סקר מבנים מסוכנים</t>
  </si>
  <si>
    <r>
      <t xml:space="preserve">מתחם ספורט משותף במתחם אלתרמן </t>
    </r>
    <r>
      <rPr>
        <b/>
        <sz val="11"/>
        <rFont val="David"/>
        <family val="2"/>
      </rPr>
      <t>אפולוניה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>(*) עדכון</t>
    </r>
    <r>
      <rPr>
        <sz val="11"/>
        <rFont val="David"/>
        <family val="2"/>
        <charset val="177"/>
      </rPr>
      <t xml:space="preserve"> </t>
    </r>
  </si>
  <si>
    <t>תב"עות פרויקטים מניבים</t>
  </si>
  <si>
    <t>פיתוח  סופי ברח' זאב במתחם והתחברות כביש סלילה ליהודה הנשיא. לקראת סיום.</t>
  </si>
  <si>
    <t>סל תכנון הכנת תב"עות לשימור אתרים, תיקי תיעוד. השלמת תנאים למתן תוקף. התב"ר לסגירה.</t>
  </si>
  <si>
    <t>הקמת חניות והסדרים גיאומטרים ליד מבנה לזכר השואה שיוקם ע"י היזם (ליאור דינור ואחרים). מימון היזם מובטח בערבות. התב"ר לסגירה.</t>
  </si>
  <si>
    <r>
      <t xml:space="preserve">תכנון כולל לסוגיית חיזוק הקשר בין מזרח העיר למערבה באמצעות תוספות של גשרים להולכי רגל ורכב דו גלגלי. </t>
    </r>
    <r>
      <rPr>
        <sz val="11"/>
        <rFont val="David"/>
        <family val="2"/>
      </rPr>
      <t>הגשרים מהווים תנאים לקידום העצמת זכויות באיזור התעסוקה.</t>
    </r>
  </si>
  <si>
    <t>ליווי ותכ' יועץ רמזורים לעדכון מע.בקרת רמזורים בעיר עקב צמתים ורמזורים חדשים.</t>
  </si>
  <si>
    <r>
      <t xml:space="preserve">תכנון איזור תעסוקה ושכונת מגורים במשולש התחבורה. מאושר בותמ"ל .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התב"ר לסגירה.</t>
    </r>
  </si>
  <si>
    <t xml:space="preserve">תכנון וביצוע צומת הבריגדה היהודית -מנחם בגין עקב ריבוי תאונות דרכים עפ"י נתוני הרלב"ד. </t>
  </si>
  <si>
    <t>פיתוח רחובות הארז והחרוב. תכנון וביצוע. לקראת סיום.</t>
  </si>
  <si>
    <t>הכנת תוכנית לניצול יעיל לשצ"פים ברחבי העיר. התב"ר לסגירה.</t>
  </si>
  <si>
    <t>שדרוג המרחב הציבורי (בית קינן)</t>
  </si>
  <si>
    <t>התקנת מערכות תאורה led בעיר</t>
  </si>
  <si>
    <t>מימון מ. החינוך.  ביטול הרשאה גן השקמים.</t>
  </si>
  <si>
    <r>
      <t xml:space="preserve">המשך הצטיידות ומיחשוב בי"ס החדש  יצחק נבון כולל בגין </t>
    </r>
    <r>
      <rPr>
        <sz val="11"/>
        <rFont val="David"/>
        <family val="2"/>
      </rPr>
      <t>תוספת 6 כיתות . מימון מ.הפיס.</t>
    </r>
  </si>
  <si>
    <t xml:space="preserve">הצטיידות בי"ס בר אילן אחרי השיפוץ. </t>
  </si>
  <si>
    <r>
      <t xml:space="preserve">הצטיידות  גנ"י חדשים  כולל  ח"מ במקביל לבניה .  פתיחת גנים במבנים קיימים , כולל שינוי הנובע מייחודיות גנ"י. </t>
    </r>
    <r>
      <rPr>
        <sz val="11"/>
        <rFont val="David"/>
        <family val="2"/>
      </rPr>
      <t>השמעוני, הנדיב , 4 גנ"י עומק, 3 מעונות יום נווה ישראל. מימון מ. החינוך גנ"י השמעוני.</t>
    </r>
  </si>
  <si>
    <r>
      <t>תכנון שיפוץ/הריסה ובניה מחדש של בי"ס. הריסה של 18 כיתות, ובניה של 24 כיתות,6 כיתות  ח"מ.</t>
    </r>
    <r>
      <rPr>
        <sz val="11"/>
        <rFont val="David"/>
        <family val="2"/>
        <charset val="177"/>
      </rPr>
      <t xml:space="preserve"> מימון מ. החינוך תוספת הרשאה.</t>
    </r>
  </si>
  <si>
    <t xml:space="preserve"> כיתות גן (7) . עדכון מימון רמ"י הסטת הרשאות בגין מבני ציבור רשות.</t>
  </si>
  <si>
    <t>בניית 10 כיתות גן .  עדכון מימון רמ"י הסטת הרשאות בגין מבני ציבור רשות.</t>
  </si>
  <si>
    <t>הקמת קמפוס מדעים:בי"ס להנדסאים ותיכון חדש. מימון מ. החינוך. תוספת הרשאה.</t>
  </si>
  <si>
    <t xml:space="preserve">תכנון והיערכות להכנת תוכנית סטטוטורית לאישור הועדה המחוזית בעתודת קרקע בין הרחובות יוסף נבו , ז'בוטינסקי ובן ציון מיכאלי. </t>
  </si>
  <si>
    <t xml:space="preserve">תכנון תב"ע מתחם הנופש "אקספורט" </t>
  </si>
  <si>
    <t>נגישות אקוסטית 2022</t>
  </si>
  <si>
    <t>ביצוע שצ"פים במתחם : מלכי יהודה (האקליפטוס), קורן,דן שומרון,דורי,משה שמיר.</t>
  </si>
  <si>
    <t>הקצאות 27.10.22</t>
  </si>
  <si>
    <t>תב"ר 20002 :אין טופס תבר</t>
  </si>
  <si>
    <t>השקעה בתשתיות ובמערכות מיכון בחניונים ברחבי העיר. לסגירה.</t>
  </si>
  <si>
    <r>
      <t xml:space="preserve">פיתוח וביצוע שידרוג ויזואלי מתחם בני בניימין הנדיב </t>
    </r>
    <r>
      <rPr>
        <b/>
        <sz val="11"/>
        <rFont val="David"/>
        <family val="2"/>
      </rPr>
      <t>(*) נסגר 2022</t>
    </r>
  </si>
  <si>
    <r>
      <t xml:space="preserve">תכנית פיתוח של המרחב הציבורי תל מיכל </t>
    </r>
    <r>
      <rPr>
        <b/>
        <sz val="11"/>
        <rFont val="David"/>
        <family val="2"/>
      </rPr>
      <t>(*) נסגר 2022</t>
    </r>
  </si>
  <si>
    <r>
      <t xml:space="preserve">ליווי "מהיר לעיר" </t>
    </r>
    <r>
      <rPr>
        <b/>
        <sz val="11"/>
        <rFont val="David"/>
        <family val="2"/>
      </rPr>
      <t>(*) נסגר 2022</t>
    </r>
  </si>
  <si>
    <r>
      <t xml:space="preserve">צומת כצלנסון  - ירושלים </t>
    </r>
    <r>
      <rPr>
        <b/>
        <sz val="11"/>
        <rFont val="David"/>
        <family val="2"/>
      </rPr>
      <t>(*) נסגר 2022</t>
    </r>
  </si>
  <si>
    <r>
      <t xml:space="preserve">פיתוח צומת אל על - נורדאו </t>
    </r>
    <r>
      <rPr>
        <b/>
        <sz val="11"/>
        <rFont val="David"/>
        <family val="2"/>
      </rPr>
      <t>(*) נסגר 2022</t>
    </r>
  </si>
  <si>
    <r>
      <t xml:space="preserve">חניון המוסכים-תכנון </t>
    </r>
    <r>
      <rPr>
        <b/>
        <sz val="11"/>
        <rFont val="David"/>
        <family val="2"/>
      </rPr>
      <t>(*) נסגר 2022</t>
    </r>
  </si>
  <si>
    <r>
      <t xml:space="preserve">פרויקט השכרת אופניים </t>
    </r>
    <r>
      <rPr>
        <b/>
        <sz val="11"/>
        <rFont val="David"/>
        <family val="2"/>
      </rPr>
      <t>(*) נסגר 2022</t>
    </r>
  </si>
  <si>
    <r>
      <t xml:space="preserve">עבודות פינוי ומיחזור הר' 1903 </t>
    </r>
    <r>
      <rPr>
        <b/>
        <sz val="11"/>
        <rFont val="David"/>
        <family val="2"/>
      </rPr>
      <t>(*) נסגר 2022</t>
    </r>
  </si>
  <si>
    <r>
      <t xml:space="preserve">פיתוח מתחם אולפני הרצליה </t>
    </r>
    <r>
      <rPr>
        <b/>
        <sz val="11"/>
        <rFont val="David"/>
        <family val="2"/>
      </rPr>
      <t>(*) נסגר 2022</t>
    </r>
  </si>
  <si>
    <r>
      <t xml:space="preserve">יהודה הנשיא רבי עקיבא רזיאל </t>
    </r>
    <r>
      <rPr>
        <b/>
        <sz val="11"/>
        <rFont val="David"/>
        <family val="2"/>
      </rPr>
      <t>(*) נסגר 2022</t>
    </r>
  </si>
  <si>
    <r>
      <t>ביכנ"ס מקדש מלך</t>
    </r>
    <r>
      <rPr>
        <b/>
        <sz val="11"/>
        <rFont val="David"/>
        <family val="2"/>
      </rPr>
      <t xml:space="preserve"> (*) נסגר 2022</t>
    </r>
  </si>
  <si>
    <r>
      <t xml:space="preserve">מועדון טלוויזיה קהילתית בשכונת צמרות </t>
    </r>
    <r>
      <rPr>
        <b/>
        <sz val="11"/>
        <rFont val="David"/>
        <family val="2"/>
      </rPr>
      <t>(*) נסגר 2022</t>
    </r>
  </si>
  <si>
    <r>
      <t xml:space="preserve">בי"ס נוף ים-תוספת 6 כיתות ומקלט </t>
    </r>
    <r>
      <rPr>
        <b/>
        <sz val="11"/>
        <rFont val="David"/>
        <family val="2"/>
      </rPr>
      <t>(*) נסגר 2022</t>
    </r>
  </si>
  <si>
    <r>
      <t xml:space="preserve">גנ"י יהודה הנשיא </t>
    </r>
    <r>
      <rPr>
        <b/>
        <sz val="11"/>
        <rFont val="David"/>
        <family val="2"/>
      </rPr>
      <t>(*) נסגר 2022</t>
    </r>
  </si>
  <si>
    <r>
      <t xml:space="preserve">הסדרת החוף הנפרד </t>
    </r>
    <r>
      <rPr>
        <b/>
        <sz val="11"/>
        <rFont val="David"/>
        <family val="2"/>
      </rPr>
      <t>(*) נסגר 2022</t>
    </r>
  </si>
  <si>
    <r>
      <t>שיפוצי מוסדות חינוך שונים  (לב טוב ,גורדון)</t>
    </r>
    <r>
      <rPr>
        <b/>
        <sz val="11"/>
        <rFont val="David"/>
        <family val="2"/>
      </rPr>
      <t xml:space="preserve"> (*) נסגר 2022</t>
    </r>
  </si>
  <si>
    <r>
      <t xml:space="preserve">פיתוח נופי דרך ירושלים כביש 531 </t>
    </r>
    <r>
      <rPr>
        <b/>
        <sz val="11"/>
        <rFont val="David"/>
        <family val="2"/>
      </rPr>
      <t>(*) נסגר 2022</t>
    </r>
  </si>
  <si>
    <r>
      <t xml:space="preserve">הצטיידות לחמ"ל החדש </t>
    </r>
    <r>
      <rPr>
        <b/>
        <sz val="11"/>
        <rFont val="David"/>
        <family val="2"/>
      </rPr>
      <t>(*) נסגר 2022</t>
    </r>
  </si>
  <si>
    <r>
      <t xml:space="preserve">גידור מרחב האירועים בפארק </t>
    </r>
    <r>
      <rPr>
        <b/>
        <sz val="11"/>
        <rFont val="David"/>
        <family val="2"/>
      </rPr>
      <t>(*) נסגר 2022</t>
    </r>
  </si>
  <si>
    <r>
      <t xml:space="preserve">שדרוג חט"ב זאב </t>
    </r>
    <r>
      <rPr>
        <b/>
        <sz val="11"/>
        <rFont val="David"/>
        <family val="2"/>
      </rPr>
      <t>(*) נסגר 2022</t>
    </r>
  </si>
  <si>
    <r>
      <t xml:space="preserve">עבודות תאורה תשתית האשל,שבטי מנשה,יהודה הלוי,שמואל הנגיד,אבן גבירול </t>
    </r>
    <r>
      <rPr>
        <b/>
        <sz val="11"/>
        <rFont val="David"/>
        <family val="2"/>
      </rPr>
      <t>(*) נסגר 2022</t>
    </r>
  </si>
  <si>
    <r>
      <t xml:space="preserve">התקנת תקרות אקוסטיות משרדי רווחה </t>
    </r>
    <r>
      <rPr>
        <b/>
        <sz val="11"/>
        <rFont val="David"/>
        <family val="2"/>
      </rPr>
      <t>(*) נסגר 2022</t>
    </r>
  </si>
  <si>
    <r>
      <t xml:space="preserve">שיפוץ בית הרמלין </t>
    </r>
    <r>
      <rPr>
        <b/>
        <sz val="11"/>
        <rFont val="David"/>
        <family val="2"/>
      </rPr>
      <t>(*) נסגר 2022</t>
    </r>
  </si>
  <si>
    <r>
      <t xml:space="preserve">שיפוץ מטבחים במוסדות רווחה </t>
    </r>
    <r>
      <rPr>
        <b/>
        <sz val="11"/>
        <rFont val="David"/>
        <family val="2"/>
      </rPr>
      <t>(*) נסגר 2022</t>
    </r>
  </si>
  <si>
    <r>
      <t xml:space="preserve">פיתוח מוסדות חינוך בהתאם לתוכנית אב </t>
    </r>
    <r>
      <rPr>
        <b/>
        <sz val="11"/>
        <rFont val="David"/>
        <family val="2"/>
      </rPr>
      <t>(*) נסגר 2022</t>
    </r>
  </si>
  <si>
    <r>
      <t xml:space="preserve">הקמת שלוחת הצופים ליד אולפנת צביה </t>
    </r>
    <r>
      <rPr>
        <b/>
        <sz val="11"/>
        <rFont val="David"/>
        <family val="2"/>
      </rPr>
      <t>(*) נסגר 2022</t>
    </r>
  </si>
  <si>
    <r>
      <t xml:space="preserve">בניית ממ"דים בבתים </t>
    </r>
    <r>
      <rPr>
        <b/>
        <sz val="11"/>
        <rFont val="David"/>
        <family val="2"/>
      </rPr>
      <t>(*) נסגר 2022</t>
    </r>
  </si>
  <si>
    <r>
      <t xml:space="preserve">פרויקטים סביבתיים </t>
    </r>
    <r>
      <rPr>
        <b/>
        <sz val="11"/>
        <rFont val="David"/>
        <family val="2"/>
      </rPr>
      <t>(*) נסגר 2022</t>
    </r>
  </si>
  <si>
    <r>
      <t xml:space="preserve">פרויקט "הרצליה נקיה מאסבסט" </t>
    </r>
    <r>
      <rPr>
        <b/>
        <sz val="11"/>
        <rFont val="David"/>
        <family val="2"/>
      </rPr>
      <t>(*) נסגר 2022</t>
    </r>
  </si>
  <si>
    <r>
      <t xml:space="preserve">תב"ע גשר קטן במרינה </t>
    </r>
    <r>
      <rPr>
        <b/>
        <sz val="11"/>
        <rFont val="David"/>
        <family val="2"/>
      </rPr>
      <t>(*) נסגר 2022</t>
    </r>
  </si>
  <si>
    <t>65/25.10.22</t>
  </si>
  <si>
    <t>הכנת תב"ע . חן סופיים.</t>
  </si>
  <si>
    <t xml:space="preserve">המשך עבודות פיתוח במתחם. פיתוח השצ"פ. </t>
  </si>
  <si>
    <r>
      <t>בניית אולם ספורט חדש בחטיבה. סיום.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לסגירה.</t>
    </r>
  </si>
  <si>
    <r>
      <t>עבודות בניה ופיתוח מרכז מדעיים וקהילה באלתרמן.</t>
    </r>
    <r>
      <rPr>
        <sz val="11"/>
        <rFont val="David"/>
        <family val="2"/>
      </rPr>
      <t xml:space="preserve"> מבנה 5 קומות ופיתוח. </t>
    </r>
  </si>
  <si>
    <r>
      <t xml:space="preserve">תכנון וביצוע הקמת 4 כיתות גן במתחם זרובבל. </t>
    </r>
    <r>
      <rPr>
        <sz val="11"/>
        <rFont val="David"/>
        <family val="2"/>
      </rPr>
      <t>לסגירה.</t>
    </r>
  </si>
  <si>
    <t xml:space="preserve">הקמה ושדרוג גינות ציבוריות:פיתוח, תשתיות שבילי גישה, הנגשה, תאורה, מע. השקייה, מתקני משחק, ריהוט גן, מתקני כושר, משטחי גומי וכל העבודות. עפ"י תוכנית עבודה שתאושר ע"י הנהלת העיר. </t>
  </si>
  <si>
    <t>התקציב הבלתי רגיל לשנת 2022 – ביצוע</t>
  </si>
  <si>
    <t xml:space="preserve">ביצוע תקציב הבלתי רגיל לשנת 2022    </t>
  </si>
  <si>
    <t>תקציב בלתי רגיל לשנת 2023 בהשקעה של</t>
  </si>
  <si>
    <t xml:space="preserve">לביצוע פרויקטים בשנת 2023 בסכום של  </t>
  </si>
  <si>
    <t>מינהל תפעול (*)</t>
  </si>
  <si>
    <t xml:space="preserve">סך התקציב הנדרש בשנת 2023 ע"י מינהל הנדסה מסתכם ב - </t>
  </si>
  <si>
    <t>פרויקטים עיקריים בשנת 2023 :</t>
  </si>
  <si>
    <t>בנוסף, תקציב מינהל הנדסה כולל פרויקטים של  תכנון עיר, תכנון תב"עות , תכנון פרויקטים</t>
  </si>
  <si>
    <t>פרויקט :שביל אופניים ברחוב שמעון ויזנטל</t>
  </si>
  <si>
    <t xml:space="preserve">סך התקציב הנדרש בשנת 2023 ע"י החברה לפיתוח הרצליה  מסתכם ב - </t>
  </si>
  <si>
    <r>
      <t>תב"ר 1551 : צפון הרצליה הר' 2035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 xml:space="preserve">צפון הרצליה </t>
    </r>
    <r>
      <rPr>
        <b/>
        <sz val="12"/>
        <color theme="1"/>
        <rFont val="David"/>
        <family val="2"/>
      </rPr>
      <t>תמ"ל 3006.</t>
    </r>
  </si>
  <si>
    <r>
      <rPr>
        <sz val="12"/>
        <color theme="1"/>
        <rFont val="David"/>
        <family val="2"/>
      </rPr>
      <t xml:space="preserve">במתחם אלתרמן </t>
    </r>
    <r>
      <rPr>
        <b/>
        <sz val="12"/>
        <color theme="1"/>
        <rFont val="David"/>
        <family val="2"/>
      </rPr>
      <t>אפולוניה.</t>
    </r>
  </si>
  <si>
    <r>
      <t xml:space="preserve">תב"ר 20014 : מתחם ספורט משותף במתחם אלתרמן 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 xml:space="preserve"> מתחם ספורט משותף במתחם </t>
    </r>
  </si>
  <si>
    <t xml:space="preserve">במהלך שנת 2022 מחלקת איכות הסביבה הועברה לכפיפות ההנהלה. </t>
  </si>
  <si>
    <t>פרויקט : ביה"ס וולפסון – פרויקט שיפוצים מוסדות חינוך</t>
  </si>
  <si>
    <t>בנוסף, תקציב מינהל התפעול כולל פרויקטים של עבודות שונות בפארק ,הצללות מוס"ח</t>
  </si>
  <si>
    <t>שיפוץ מפתן ארז , הקמת פינות מיחזור ברחבי העיר , שדרוג מקלטים ציבוריים</t>
  </si>
  <si>
    <t>שדרוג התאורה במגרשי האימונים באיצטדיון,פרויקט שיפוצי חזיתות בתים.</t>
  </si>
  <si>
    <t xml:space="preserve">התקציב מיועד לפרויקטים של השקעה במרחבי למידה , חידוש ריהוט בי"ס  ובהצטידויות </t>
  </si>
  <si>
    <t>מוסדות חינוך חדשים ולאחר שיפוץ .</t>
  </si>
  <si>
    <r>
      <t xml:space="preserve">תב"ר 20045 : הצטיידות אולמות ספורט הנגיד מגרש 406,408 </t>
    </r>
    <r>
      <rPr>
        <b/>
        <sz val="12"/>
        <color theme="1"/>
        <rFont val="David"/>
        <family val="2"/>
      </rPr>
      <t xml:space="preserve"> - </t>
    </r>
  </si>
  <si>
    <t xml:space="preserve">סך התקציב הנדרש בשנת 2023 ע"י החברה לפיתוח התיירות מסתכם ב - </t>
  </si>
  <si>
    <t>החברה תמשיך בשנת 2023 בתכנון תב"ע חזית חוף הים.</t>
  </si>
  <si>
    <t>הקמת אתר עירוני פורטל ומערכת לניהול פניות.</t>
  </si>
  <si>
    <t>במהלך שנת 2022 מחלקת איכות הסביבה הועברה לכפיפות ההנהלה ממינהל התפעול.</t>
  </si>
  <si>
    <t>עדכון מע. מידע הנדסי כתוצאה משינוי ייעודי קרקע עקב החלטות ועדות התכנון.המשך תבר 179.</t>
  </si>
  <si>
    <r>
      <t xml:space="preserve">עבודה סלילה, גינון ותאורה במתחם. 2023: סיום ביצוע שלב א' (דליה רביקוביץ) ותכנון דרך שרות מנחם בגין. </t>
    </r>
    <r>
      <rPr>
        <b/>
        <sz val="11"/>
        <rFont val="David"/>
        <family val="2"/>
      </rPr>
      <t/>
    </r>
  </si>
  <si>
    <r>
      <t xml:space="preserve">בדיקת התכנות טרם קביעת ותוך כדי בחינת מתחמי פינוי בינוי. התב"ר לסגירה. </t>
    </r>
    <r>
      <rPr>
        <sz val="11"/>
        <rFont val="David"/>
        <family val="2"/>
      </rPr>
      <t xml:space="preserve">ראה תב"ר 1660. </t>
    </r>
  </si>
  <si>
    <t xml:space="preserve">עבודות פיתוח הרחוב. </t>
  </si>
  <si>
    <t>פרויקטים שהיקפם עולה על 15,742 אלפי ₪ בביצוע החברה לפיתוח הרצליה.</t>
  </si>
  <si>
    <t>ערך הסף נכון להיום עומד על יותר מ  - 15,742 אלפי ₪.</t>
  </si>
  <si>
    <t>רכישת אופנועי ים</t>
  </si>
  <si>
    <t>עבודות שיפוץ להסדרת יציבות המבנה נכס עירוני במגדל הצוק</t>
  </si>
  <si>
    <r>
      <t xml:space="preserve">מתקן נינג'ה </t>
    </r>
    <r>
      <rPr>
        <b/>
        <sz val="11"/>
        <rFont val="David"/>
        <family val="2"/>
      </rPr>
      <t>(*) נסגר 2022</t>
    </r>
  </si>
  <si>
    <t>תכנון ראשוני של כל המתחמים בעיר לבחינת פוטציאל התחדשות. ניתוח והכנת פרוגרמות עד לחלופה מועדפת.</t>
  </si>
  <si>
    <t>תקציב נוסף נדרש במסגרת תוכנית עבודה2022</t>
  </si>
  <si>
    <t>תקציב נוסף נדרש מעבר לתוכנית עבודה2022</t>
  </si>
  <si>
    <t>השלמת ביצוע  עבודות סלילה ופיתוח לאחר סיום הבניה ברח' דורי ומשה שמיר.</t>
  </si>
  <si>
    <t xml:space="preserve"> תכנון מתחם חוף התכלת. מימון רמ"י.</t>
  </si>
  <si>
    <t xml:space="preserve">תוכנית המתאר הכוללנית </t>
  </si>
  <si>
    <t xml:space="preserve">עבודות פיתוח במתחם הרחובות והרחבתם.סיום. שינוי מימון רמ"י. </t>
  </si>
  <si>
    <t>הכנת מסמכי מדיניות ותוכניות אסטרטגיה להתחדשות עירונית . פרוייקטים מתוכננים 2023: רח' הרב קוק - ארלוזרוב , רח' בן גוריון.</t>
  </si>
  <si>
    <r>
      <t>הארכת דרך ירושלים  מרחוב סוקולוב עד ליפקין שחק כולל דרך ושביל אופניים , פיתוח רחוב יבנה והנגב . 2023 :</t>
    </r>
    <r>
      <rPr>
        <sz val="11"/>
        <rFont val="David"/>
        <family val="2"/>
      </rPr>
      <t>תכנון. מקטע עד ארלוזרוב.</t>
    </r>
  </si>
  <si>
    <t>בנין העיריה החדש. לסגירה.</t>
  </si>
  <si>
    <r>
      <t>השלמת תכנון עד להיתר לחניון אוטובוסים.</t>
    </r>
    <r>
      <rPr>
        <sz val="11"/>
        <rFont val="David"/>
        <family val="2"/>
      </rPr>
      <t>ח-ן סופיים. יתרת מימון מ. התחבורה.</t>
    </r>
  </si>
  <si>
    <t xml:space="preserve">התקנת קירוי קשיח במגרשי ספורט. </t>
  </si>
  <si>
    <t xml:space="preserve">מבנה קבוצות הנוער  הריסת טריבונות , בניית מלתחות  בניית טריבונה וגג קל. </t>
  </si>
  <si>
    <r>
      <rPr>
        <sz val="11"/>
        <rFont val="David"/>
        <family val="2"/>
      </rPr>
      <t>פיתוח הגשר מעל כביש 20 איזור גליל ים</t>
    </r>
    <r>
      <rPr>
        <b/>
        <sz val="11"/>
        <rFont val="David"/>
        <family val="2"/>
      </rPr>
      <t xml:space="preserve">. </t>
    </r>
    <r>
      <rPr>
        <sz val="11"/>
        <rFont val="David"/>
        <family val="2"/>
      </rPr>
      <t xml:space="preserve"> תכנון. </t>
    </r>
  </si>
  <si>
    <r>
      <t xml:space="preserve">בניית בית ספר ברח' משה-12 כתות. </t>
    </r>
    <r>
      <rPr>
        <sz val="11"/>
        <rFont val="David"/>
        <family val="2"/>
      </rPr>
      <t/>
    </r>
  </si>
  <si>
    <t xml:space="preserve">הכשרת חניון העוגן במרינה לחניון בתשלום. </t>
  </si>
  <si>
    <t xml:space="preserve">בניית 6 כיתות גנ"י במתחם ויצמן. </t>
  </si>
  <si>
    <t>עבודות שיפוץ בית ההורים ברחוב אנה פרנק. עבודות שדרוג ושיפוץ כללי. ח-ן סופיים.</t>
  </si>
  <si>
    <t>תכנון ראשוני הקמת מעון לאנשים עם מוגבלויות ברחוב הר סיני שכונת יד התשעה. מימון קרן שלם והמוסד לביטוח לאומי.</t>
  </si>
  <si>
    <t xml:space="preserve">גיבוש תוכנית פעולות לעבודות הגנה על מצוקי חופי הים . המשך תכנון. מימון מ. הפנים. </t>
  </si>
  <si>
    <t>אולם ספורט ותוספת 6 כיתות בי"ס שז"ר. מימון מ. החינוך.</t>
  </si>
  <si>
    <r>
      <t xml:space="preserve">הריסת מבנים קיימים ובניה מתחם חדש:בי"ס יסודי 24 כיתות, 4 כיתות ח"מ, אולם ספורט, מגרש ספורט מוצלל, 4 כיתות גנ"י. </t>
    </r>
    <r>
      <rPr>
        <sz val="11"/>
        <rFont val="David"/>
        <family val="2"/>
      </rPr>
      <t>מימון מ. החינוך.</t>
    </r>
  </si>
  <si>
    <t>תכנון וביצוע של תוספת 6 כיתות ומעבדות בתיכון היובל. קדם מימון מ. החינוך.</t>
  </si>
  <si>
    <r>
      <rPr>
        <sz val="11"/>
        <rFont val="David"/>
        <family val="2"/>
      </rPr>
      <t>תכנון חט"ב חדשה 24 כיתות באלתרמן.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מימון מ. החינוך.</t>
    </r>
  </si>
  <si>
    <t>תכנון וביצוע תוספת 8 כיתות בי"ס ברנר ובניית אולם ספורט.</t>
  </si>
  <si>
    <t xml:space="preserve">הקמת מערכות סולאריות על גגות אולמות ספורט ומתנ"סים 14 במספר עפ"י רשימה.  </t>
  </si>
  <si>
    <t xml:space="preserve">החלפת קו ניקוז ברח' שלווה. </t>
  </si>
  <si>
    <t xml:space="preserve">החלפת קו ניקוז ברח' בזל. </t>
  </si>
  <si>
    <t>עבודות פיתוח, גינון והשקייה,  ניקוז ותיעול פיתוח לאזור הואדי כולל שיקום מדרכות ושבילי אופניים בנעמי שמר ועבודות חשמל ותאורה.הפרויקט ברובו במימון נת"ע.</t>
  </si>
  <si>
    <t xml:space="preserve">מתחם ספורט משותף: אולם ומגרש ספורט לתיכון היובל, אולם ספורט לבי״ס נבון ואולם התעמלות מכשירים. </t>
  </si>
  <si>
    <t xml:space="preserve">הקמת תחנות הצלה חדשות בחוף אכדיה צפון ובחוף סדני עלי. </t>
  </si>
  <si>
    <t>ביכנ"ס ומרכז טיפול לגיל הרך מגרש 301.</t>
  </si>
  <si>
    <t>במקביל, תבר הצטיידות בחינוך .</t>
  </si>
  <si>
    <r>
      <t xml:space="preserve">בי"ס יסודי בשטח 304.תכנון. </t>
    </r>
    <r>
      <rPr>
        <b/>
        <sz val="11"/>
        <rFont val="David"/>
        <family val="2"/>
      </rPr>
      <t/>
    </r>
  </si>
  <si>
    <t>מעון לאנשים עם מוגבלויות ביד התשעה</t>
  </si>
  <si>
    <t>הצללות קבועות מעל מגרשי ספורט  עפ"י תוכנית שתאושר ע"י הנהלת העיר.</t>
  </si>
  <si>
    <r>
      <t xml:space="preserve">בנית פיר מעלית חיצוני בעקבות ביקורת של יועץ נגישות וקושי הנדסי לבנות את הפיר בתוך המבנה. מימון מ. הדתות. </t>
    </r>
    <r>
      <rPr>
        <sz val="11"/>
        <rFont val="David"/>
        <family val="2"/>
      </rPr>
      <t>כולל שיפוץ המרפסת והמדרגות.</t>
    </r>
  </si>
  <si>
    <t>סל עבודות שיפוצים שונות במוס"ח לרבות שיפוצים יסודיים והתאמת מבנים גנ"י. ייסגר עם קבלת תקבול מ. החינוך יביל יד גיורא.</t>
  </si>
  <si>
    <t>הקמת פינות מיחזור ברחבי העיר המרכזות מיכלי אצירה לסוגים שונים של פסולת כגון: בקבוקים, זכוכית, נייר, אריזות ועוד. שדרוג מיכלי מיחזור לפי דגם אחיד .</t>
  </si>
  <si>
    <t xml:space="preserve">החלפת מזגנים , החלפת תאורה ללדים  ובקרת מבנים במוס"ח ובמוסדות עירוניים. </t>
  </si>
  <si>
    <t>התקנת תאורה בתחנות אוטובוס ברחבי העיר שהקים מ.התחבורה  וביצוע תשתיות לתחנות אוטובוס שיוצבו ע"י מ. התחבורה.</t>
  </si>
  <si>
    <t>עלויות טיפול בקרקע תחנת הדלק העירונית במתחם אגף תבל.</t>
  </si>
  <si>
    <t xml:space="preserve">נגישות אקוסטית .מימון מ. החינוך. </t>
  </si>
  <si>
    <t xml:space="preserve">הקמת קירות תמך עקב בעיות בטיחות במרחב הציבורי. </t>
  </si>
  <si>
    <t>גנ"י זרובבל גליל ים אגמית. מימון  מ. החינוך.</t>
  </si>
  <si>
    <t>סל למערכות שונות ורכש לצרכי בטחון.</t>
  </si>
  <si>
    <t xml:space="preserve">תקציב מסגרת של עבודות במוס"ח לרבות שיפוצים יסודיים , התאמת מבנים ושדרוג גנ"י על פי תוכנית שתאושר ע"י הנהלת העיר. </t>
  </si>
  <si>
    <t>הקמת מעון יום במתנ"ס נווה ישראל.תוספת קומה והקמת 4 כיתות מעון, פיתוח הצטיידות ומיחשוב.</t>
  </si>
  <si>
    <t>עבודות שיפוץ הקונסבטוריון כ - 1,000 מ"ר ב - 2 קומות בשכונת יד התשעה כולל תקרות אקוסטיות, תאורה, ריצוף, שדרוג השרותים , מערכות חשמל, מיזוג אוויר. מימון מ. הפיס.</t>
  </si>
  <si>
    <t>הכשרת המבנה בנדיב 2 למוזיאון אלי כהן. מימון מ.רה"מ.</t>
  </si>
  <si>
    <t>מסגרת תקציב לעבודות תאורה ברחובות בתאום עם ח,ח עקב הטמנת קווי חשמל.</t>
  </si>
  <si>
    <t>שדרוג ופיתוח רח' סוקולוב.</t>
  </si>
  <si>
    <t>שיפוץ כולל הצטיידות מבנה עירוני בבנין לב העיר למע"ש.</t>
  </si>
  <si>
    <t>שדרוג מערכות מיזוג האויר בבנין העיריה.</t>
  </si>
  <si>
    <t>הסבת מבנה גנים לכיתות בי"ס ח"מ כולל הצטיידות.</t>
  </si>
  <si>
    <t>הקמת מעונות יום בשכונת יד התשעה כולל הצטיידות.</t>
  </si>
  <si>
    <t>עבודות שיפוץ המתנס הכולל שיפוץ קומה א' וב' , הנגשה , חיפוי חדש חוץ המבנה והצטיידות.</t>
  </si>
  <si>
    <t xml:space="preserve">התקנת מערכות חדשות על תקרת המקלט הכולל מערכת מסנני אויר. </t>
  </si>
  <si>
    <t>שדרוג עמודי תאורה ברחבי העיר עפ"י תוכנית שתאושר ע"י הנהלת העיר.</t>
  </si>
  <si>
    <t>החלפת תאורה ללדים. עפ"י רשימה.</t>
  </si>
  <si>
    <t>התקנת מערכות תאורה לדים ברחבי העיר ע"י תוכנית שתאושר ע"י הנהלת העיר.</t>
  </si>
  <si>
    <t>עבודות שיפוץ במבנה של העיריה (משרדי רשות החופים) לאור מצב המבנה (קורוזיה) והמהווה סכנה .</t>
  </si>
  <si>
    <t xml:space="preserve">רכש פורטינט . </t>
  </si>
  <si>
    <t>מימוש תקציב בלתי רגיל במסגרת תוכנית הפיתוח השנתית המעודכנת 2022</t>
  </si>
  <si>
    <r>
      <t xml:space="preserve">החלפת קו ניקוז רח' שלווה </t>
    </r>
    <r>
      <rPr>
        <b/>
        <sz val="11"/>
        <rFont val="David"/>
        <family val="2"/>
      </rPr>
      <t>(*) עבר לח.לפיתוח</t>
    </r>
  </si>
  <si>
    <r>
      <t xml:space="preserve">החלפת קו ניקוז רח' בזל </t>
    </r>
    <r>
      <rPr>
        <b/>
        <sz val="11"/>
        <rFont val="David"/>
        <family val="2"/>
      </rPr>
      <t>(*) עבר לח.לפיתוח</t>
    </r>
  </si>
  <si>
    <r>
      <t xml:space="preserve">שצפ הואדי והמנהרה הרומית </t>
    </r>
    <r>
      <rPr>
        <b/>
        <sz val="11"/>
        <rFont val="David"/>
        <family val="2"/>
      </rPr>
      <t>(*) עבר לח.לפיתוח</t>
    </r>
  </si>
  <si>
    <r>
      <t xml:space="preserve">רכישת ציוד טיפול זיהום חוף ים </t>
    </r>
    <r>
      <rPr>
        <b/>
        <sz val="11"/>
        <rFont val="David"/>
        <family val="2"/>
      </rPr>
      <t>(*) נסגר 2022</t>
    </r>
  </si>
  <si>
    <r>
      <t xml:space="preserve">שיפוץ מבנה אגף תבל ואגף הבטחון </t>
    </r>
    <r>
      <rPr>
        <b/>
        <sz val="11"/>
        <rFont val="David"/>
        <family val="2"/>
      </rPr>
      <t>(*) נסגר 2022</t>
    </r>
  </si>
  <si>
    <r>
      <t xml:space="preserve">בניית בי"ס ברחוב משה (ירוק) </t>
    </r>
    <r>
      <rPr>
        <b/>
        <sz val="11"/>
        <rFont val="David"/>
        <family val="2"/>
      </rPr>
      <t>(*) עבר לח.לפיתוח</t>
    </r>
  </si>
  <si>
    <r>
      <t xml:space="preserve">שיקום חזית מבנה דיור לקשיש </t>
    </r>
    <r>
      <rPr>
        <b/>
        <sz val="11"/>
        <rFont val="David"/>
        <family val="2"/>
      </rPr>
      <t>(*) עבר לח. לפיתוח</t>
    </r>
  </si>
  <si>
    <r>
      <t xml:space="preserve">הקמת תחנות הצלה חוף אכדיה צפון וחוף סידני עלי </t>
    </r>
    <r>
      <rPr>
        <b/>
        <sz val="11"/>
        <rFont val="David"/>
        <family val="2"/>
      </rPr>
      <t>(*) עבר לח.לפיתוח</t>
    </r>
  </si>
  <si>
    <r>
      <t xml:space="preserve">שיקום אצטדיון גורדון </t>
    </r>
    <r>
      <rPr>
        <b/>
        <sz val="11"/>
        <rFont val="David"/>
        <family val="2"/>
      </rPr>
      <t>(*) עבר לתנוס</t>
    </r>
  </si>
  <si>
    <t>תקציב שאושר במועצה מעבר למסגרת תוכנית הפיתוח השנתית 2022</t>
  </si>
  <si>
    <r>
      <t xml:space="preserve">שיפוץ משרדי לב העיר </t>
    </r>
    <r>
      <rPr>
        <sz val="12"/>
        <rFont val="David"/>
        <family val="2"/>
      </rPr>
      <t>כולל מע"ש</t>
    </r>
  </si>
  <si>
    <t>עבודות פיתוח ותשתיות ברחבי העיר.</t>
  </si>
  <si>
    <r>
      <t xml:space="preserve">שדרוג מתחם המשקל העירוני </t>
    </r>
    <r>
      <rPr>
        <b/>
        <sz val="11"/>
        <rFont val="David"/>
        <family val="2"/>
      </rPr>
      <t>(*) עבר לח. לפיתוח</t>
    </r>
  </si>
  <si>
    <r>
      <t xml:space="preserve">פרוייקט התאמת חורשות וחצרות גנ"י פרויקט EACH </t>
    </r>
    <r>
      <rPr>
        <b/>
        <sz val="11"/>
        <rFont val="David"/>
        <family val="2"/>
      </rPr>
      <t>(*) עבר לח. לפיתוח</t>
    </r>
  </si>
  <si>
    <r>
      <t xml:space="preserve">תכנון התחדשות עירונית ביד התשעה במסגרת תוכנית כללית/תוכניות מתחמיות. </t>
    </r>
    <r>
      <rPr>
        <sz val="11"/>
        <rFont val="David"/>
        <family val="2"/>
      </rPr>
      <t>2023: שמאי מלווה ומנהל פרוייקט.</t>
    </r>
  </si>
  <si>
    <t xml:space="preserve">תכנון מתחם מעונות שרה לפינוי ובינוי.התוכנית בשלב סטוטורי מתקדם - בשלב הפקדה. 2023: סיום התוכנית. </t>
  </si>
  <si>
    <t xml:space="preserve">פיתוח   פארק רבין </t>
  </si>
  <si>
    <t>גנ"י נווה עמל ציפורן   וחמניה</t>
  </si>
  <si>
    <t>בחינת התכנות לגנ"י חדשים במתחמים שונים</t>
  </si>
  <si>
    <t>אולם ספורט בי"ס יוחנני  ובניית כיתות וגנ"י</t>
  </si>
  <si>
    <t xml:space="preserve">מתחם ספורט משותף במתחם אלתרמן אפולוניה (*) עדכון </t>
  </si>
  <si>
    <t xml:space="preserve">ביכנ"ס  הרצליה הירוקה  באלתרמן </t>
  </si>
  <si>
    <t>היקפי פרויקט מעל 15,742,000 ₪</t>
  </si>
  <si>
    <t>5-16</t>
  </si>
  <si>
    <t>17-26</t>
  </si>
  <si>
    <t>27-53</t>
  </si>
  <si>
    <t>54-77</t>
  </si>
  <si>
    <t>78-80</t>
  </si>
  <si>
    <t>86-88</t>
  </si>
  <si>
    <t>89-90</t>
  </si>
  <si>
    <t>91-96</t>
  </si>
  <si>
    <t>97-138</t>
  </si>
  <si>
    <t>139-141</t>
  </si>
  <si>
    <t>פרוט הפרויקטים מובא בעמוד 141 - 139</t>
  </si>
  <si>
    <t>תאור הפרויקטים מובא בעמודים 41-53</t>
  </si>
  <si>
    <t>תאור הפרויקטים מובא בעמודים 66-77</t>
  </si>
  <si>
    <t>התקציב הבלתי רגיל לשנת 2022 - ביצוע</t>
  </si>
  <si>
    <t>105 - 99</t>
  </si>
  <si>
    <t>115 - 106</t>
  </si>
  <si>
    <t>124 - 116</t>
  </si>
  <si>
    <t>126 - 125</t>
  </si>
  <si>
    <t>תקציב בלתי רגיל שאושר מעבר לתוכנית הפיתוח השנתית   במהלך 2022</t>
  </si>
  <si>
    <t>138 - 132</t>
  </si>
  <si>
    <t xml:space="preserve">פרויקט "עיר חכמה" - המשך התקנת מערכות שליטה ובקרה,מצלמות ופריסת תשתיות בעיר. </t>
  </si>
  <si>
    <t>מויין מחדש. בשנת 2022 איכות הסביבה הועברה ממינהל התפעול לכפיפות מינהל כללי.</t>
  </si>
  <si>
    <t xml:space="preserve">מינהל חינוך </t>
  </si>
  <si>
    <t>תקציבי פיתוח רשות מינהל מקרקעי ישראל</t>
  </si>
  <si>
    <t xml:space="preserve">פינוי בינוי, תוכנית מתאר להתחדשות עירונית.  </t>
  </si>
  <si>
    <t>עדכון מע. מידע הנדסי כתוצאה משינוי ייעודי קרקע עקב החלטות ועדות התכנון. לסגירה. ראה תב"ר חדש מס' 20062.</t>
  </si>
  <si>
    <r>
      <t>תכנון וביצוע שבילי אופנים ברחבי העיר. 2023: תכנון וביצוע אלי לנדאו, ארלוזרוב, הדר , ז'בוטינסקי , שבילים טאקטיים נווה עובד.</t>
    </r>
    <r>
      <rPr>
        <b/>
        <sz val="11"/>
        <rFont val="David"/>
        <family val="2"/>
      </rPr>
      <t xml:space="preserve"> </t>
    </r>
  </si>
  <si>
    <r>
      <t xml:space="preserve">מיחשוב כלל התשתיות הקיימות במרחב הציבורי. ב - </t>
    </r>
    <r>
      <rPr>
        <sz val="11"/>
        <rFont val="David"/>
        <family val="2"/>
      </rPr>
      <t>2023</t>
    </r>
    <r>
      <rPr>
        <sz val="11"/>
        <rFont val="David"/>
        <family val="2"/>
        <charset val="177"/>
      </rPr>
      <t xml:space="preserve"> : ביצוע הסקר.</t>
    </r>
  </si>
  <si>
    <t>לאור אישור תוכנית שימור ל - 70 אתרים , תקציב מסגרת ליועצים ,מתכננים וסקריי שימור.</t>
  </si>
  <si>
    <t>תיקון מסמכי התוכנית לרבות בחינת טיפוסי הבינוי המאושרים.</t>
  </si>
  <si>
    <t>עריכת סקר מבנים מסוכנים הנדרש בהתאם לחוק עזר למבנים מסוכנים.</t>
  </si>
  <si>
    <r>
      <t xml:space="preserve">צפון הרצליה </t>
    </r>
    <r>
      <rPr>
        <strike/>
        <sz val="11"/>
        <rFont val="David"/>
        <family val="2"/>
      </rPr>
      <t>הר'</t>
    </r>
    <r>
      <rPr>
        <sz val="11"/>
        <rFont val="David"/>
        <family val="2"/>
        <charset val="177"/>
      </rPr>
      <t xml:space="preserve"> </t>
    </r>
    <r>
      <rPr>
        <strike/>
        <sz val="11"/>
        <rFont val="David"/>
        <family val="2"/>
      </rPr>
      <t xml:space="preserve">2035 </t>
    </r>
    <r>
      <rPr>
        <sz val="11"/>
        <rFont val="David"/>
        <family val="2"/>
        <charset val="177"/>
      </rPr>
      <t xml:space="preserve">
</t>
    </r>
    <r>
      <rPr>
        <b/>
        <sz val="11"/>
        <rFont val="David"/>
        <family val="2"/>
      </rPr>
      <t>תמ"ל 3006 (*</t>
    </r>
    <r>
      <rPr>
        <sz val="11"/>
        <rFont val="David"/>
        <family val="2"/>
        <charset val="177"/>
      </rPr>
      <t xml:space="preserve">) </t>
    </r>
    <r>
      <rPr>
        <b/>
        <sz val="11"/>
        <rFont val="David"/>
        <family val="2"/>
      </rPr>
      <t>עדכון</t>
    </r>
    <r>
      <rPr>
        <sz val="11"/>
        <rFont val="David"/>
        <family val="2"/>
        <charset val="177"/>
      </rPr>
      <t xml:space="preserve"> </t>
    </r>
  </si>
  <si>
    <t xml:space="preserve">השלמת ביצוע פארק דרום, ביצוע והשלמת תכנון פארק רבין צפון. מימון מ. הפיס. </t>
  </si>
  <si>
    <r>
      <t>תוספת קומה והקמת חדרי פעילויות.</t>
    </r>
    <r>
      <rPr>
        <b/>
        <sz val="11"/>
        <rFont val="David"/>
        <family val="2"/>
      </rPr>
      <t xml:space="preserve"> </t>
    </r>
  </si>
  <si>
    <t xml:space="preserve">טיפול בשב"צ וגינת כלבים. </t>
  </si>
  <si>
    <t xml:space="preserve">תוספת מבנה של 6 כיתות    ואולם ספורט חדש בבי"ס ויצמן. </t>
  </si>
  <si>
    <t>תכנון וביצוע ניקוז ברחוב רוחמה ושבטי ישראל בשיתוף עם תאגיד המים. במסגרת תוכ. אב לניקוז.</t>
  </si>
  <si>
    <t xml:space="preserve">הריסת א. ספורט קיים, בנית חדש, בניית 6  כיתות לימוד ובניית 3 גנ"י במקום גן קיים אלה. </t>
  </si>
  <si>
    <t>תכנון ביכנ"ס במתחם גליל ים כולל בניית ביכנ"ס זמני .</t>
  </si>
  <si>
    <t>תכנון תב"עות פרויקטים מניבים.</t>
  </si>
  <si>
    <t>בניית בי"ס יסודי (18) , 24 כיתות חט"ב ותיכון , אולם ספורט בינוני , מגרש ספורט , חניון תתקרקעי 2 מפלסים. מימון מ. החינוך. עדכון מימון רמ"י הסטת הרשאות בגין מבני ציבור רשות.</t>
  </si>
  <si>
    <t xml:space="preserve">בניית 3 כיתות גן , בניית החניון במימון  חברת אפריקה ישראל. </t>
  </si>
  <si>
    <t xml:space="preserve">כיתות גן (3) נוספות מגרש 302 גליל ים. </t>
  </si>
  <si>
    <t>סל לשיפוץ בתי כנסת עפ"י תוכנית שתוגש במהלך השנה.</t>
  </si>
  <si>
    <t>סל לשיפוץ כולל מזגנים ובינוי נכסים עירוניים.</t>
  </si>
  <si>
    <t>סל להחלפה ושדרוג מזגנים במוסדות חינוך ועירייה. לסגירה.</t>
  </si>
  <si>
    <t>סל לעבודות הסדרת ליקויים כיבוי אש במוס"ח ובמוסדות עיריה  לפי סקר. 2023 : בית קינן ואולם קשטן.</t>
  </si>
  <si>
    <r>
      <t>החלפת רכבים קיימים ,רכישת תוספת רכבים והתקנת עמדות טעינה עפ"י רשימה שתאושר ע"י הנהלת העיר.</t>
    </r>
    <r>
      <rPr>
        <sz val="11"/>
        <rFont val="David"/>
        <family val="2"/>
      </rPr>
      <t xml:space="preserve"> </t>
    </r>
  </si>
  <si>
    <t>תקציב מסגרת.החלפת ושדרוג ריהוט הרחוב ברחבי העיר עפ"י תוכנית שתאושר ע"י הנהלת העיר.</t>
  </si>
  <si>
    <t>רכישת אופנועי ים.</t>
  </si>
  <si>
    <r>
      <t>הצטיידות  גנים חדשים כולל  ח"מ במקביל לבניה ופתיחת גנים במבנים קיימים .</t>
    </r>
    <r>
      <rPr>
        <sz val="11"/>
        <rFont val="David"/>
        <family val="2"/>
      </rPr>
      <t xml:space="preserve"> לסגירה. ראה תב"ר 20044.</t>
    </r>
  </si>
  <si>
    <t xml:space="preserve">ראה תב"ר בניה בחברה לפיתוח הרצליה. </t>
  </si>
  <si>
    <t>הקמה ושיפוץ רצפות פרקט: חידוש רצפה באולם תיכון חדש , אולם בנווה ישראל , אולם חט"ב בן גוריון , בתיכון ראשונים.</t>
  </si>
  <si>
    <t>שיקום מסלולי ריצה לרבות עבודות תשתית, בורות קפיצה ומעגל הדיפת כדור ברזל, אספקה והתקנת דשא סינטטי, הקמת מחסן, ריצוף .</t>
  </si>
  <si>
    <t>הצטיידות אולמות ספורט  בבי"ס שזר, מגרש 406 חטיבה עליונה במתחם גליל ים, מועדון פטנק בספורטק, ריהוט ומועדון שחמט חדש , ענף ספורט  אתלטיקה קלה.</t>
  </si>
  <si>
    <r>
      <t xml:space="preserve">הצטיידות אולמות ספורט </t>
    </r>
    <r>
      <rPr>
        <strike/>
        <sz val="11"/>
        <rFont val="David"/>
        <family val="2"/>
      </rPr>
      <t xml:space="preserve">הנגיד, מגרש 406,408 </t>
    </r>
    <r>
      <rPr>
        <sz val="11"/>
        <rFont val="David"/>
        <family val="2"/>
      </rPr>
      <t xml:space="preserve">וענפי ספורט חדשים </t>
    </r>
    <r>
      <rPr>
        <b/>
        <sz val="11"/>
        <rFont val="David"/>
        <family val="2"/>
      </rPr>
      <t xml:space="preserve">(*) עדכון </t>
    </r>
  </si>
  <si>
    <r>
      <rPr>
        <sz val="12"/>
        <color theme="1"/>
        <rFont val="David"/>
        <family val="2"/>
      </rPr>
      <t xml:space="preserve">הצטיידות אולמות ספורט </t>
    </r>
    <r>
      <rPr>
        <b/>
        <sz val="12"/>
        <color theme="1"/>
        <rFont val="David"/>
        <family val="2"/>
      </rPr>
      <t>וענפי ספורט חדשים.</t>
    </r>
  </si>
  <si>
    <t>בחינת מדיניות הטיפול בפסולת אורגנית ברחבי העיר:ביצוע פיילוטים להעלאת אחוזי הטיפול בפסולת אורגנית, רכישת אמצעים לביצוע הפיילוט,יועץ מלווה.</t>
  </si>
  <si>
    <t>שיפוץ פנים הדירות של דיירי עמידר במצב סוציו אוקונומי קשה. העבודה מבוצעת ע"י חברת עמידר השתתפות העיריה 50%.</t>
  </si>
  <si>
    <t xml:space="preserve">סל עבודות פרויקטים תחבורתיים עפ"י החלטות וע.תנועה ופניות הציבור:הסדרים בטיחותיים בצמתים ,הסדרי חניה,תכנון תנועתי חדש. </t>
  </si>
  <si>
    <t>תאור הפרויקטים מובא בעמודים 94-96</t>
  </si>
  <si>
    <t>יער עירוני וחקלאות קהילתית. הקמת גינות קהילתיות חדשות ושדרוג תשתיות בגינות קיימות. יערות מאכל, חורשות קהילתיות. תוכנית אב לחקלאות עירונית</t>
  </si>
  <si>
    <t>התכנית בשיתוף פעולה עם תאגיד ת.מ.י.ר  להגדלת מספר משקי הבית ברשות המקומית המשתתפים בתהליך איסוף והפרדת פסולת האריזות והשלכתה לפח הכתום . מסגרת התקציב הינה מחצית היקף התוכנית חלקה של העירייה מול סכום זהה  מימון התאגיד.</t>
  </si>
  <si>
    <t>פרויקט : פיתוח חצר בתיכון היובל</t>
  </si>
  <si>
    <t>אומדן 2022</t>
  </si>
  <si>
    <t>פרויקט : קריית חינוך חיים הרצוג (גליל ים ב' מגרש 408)</t>
  </si>
  <si>
    <r>
      <t xml:space="preserve">פרויקט  בניית אודיטוריום ,תוספת 6 כתות ו-2 ממ"דים ,שיפוץ כללי ומעלית כולל איטום גג אולם ספורט. </t>
    </r>
    <r>
      <rPr>
        <sz val="11"/>
        <rFont val="David"/>
        <family val="2"/>
      </rPr>
      <t xml:space="preserve"> מימון מ.החינוך.</t>
    </r>
  </si>
  <si>
    <t>עבודות שונות בפארק בין היתר שיפוץ שרותים מרכזיים , מבני תנוס, חידוש מסלול גומי, תוספות עצים, שילוט ושדרוגים שונים עפ"י תוכנית עבודה שתאושר ע"י הנהלת העיר.</t>
  </si>
  <si>
    <t xml:space="preserve">תביעה פינוי גוש 6521 </t>
  </si>
  <si>
    <t>עלויות בקשר עם תביעה של פינוי נכס גוש 6521 חלק' 21-23, 67-68. טרם הסתיים ההליך המשפטי.</t>
  </si>
  <si>
    <t>שיפוץ בית הספר כולל הכשרת מעבדות קיימות לכיתות לימוד עפ"י תוכנית שתאושר ע"י הנהלת העיר. העבודות כוללת איטום אולם הספורט.</t>
  </si>
  <si>
    <t xml:space="preserve">סך התקציב הנדרש בשנת 2023 ע"י מינהל  תפעול מסתכם ב - </t>
  </si>
  <si>
    <t>מספר הפרויקטים המטופל ע"י מינהל הנדסה :</t>
  </si>
  <si>
    <t>מספר הפרויקטים המטופל ע"י החברה לפיתוח הרצליה :</t>
  </si>
  <si>
    <t>מספר הפרויקטים המטופל ע"י מינהל תפעול :</t>
  </si>
  <si>
    <t xml:space="preserve">סך התקציב הנדרש בשנת 2023 ע"י מינהל חינוך  מסתכם ב - </t>
  </si>
  <si>
    <t>מספר הפרויקטים המטופל ע"י מינהל חינוך :</t>
  </si>
  <si>
    <t xml:space="preserve">סך התקציב הנדרש בשנת 2023 ע"י אגף ת.נ.ו.ס  מסתכם ב - </t>
  </si>
  <si>
    <t>מספר הפרויקטים המטופל ע"י אגף ת.נ.ו.ס :</t>
  </si>
  <si>
    <t xml:space="preserve">סך התקציב הנדרש בשנת 2023 ע"י אגף תקשוב ומערכות מידע מסתכם ב - </t>
  </si>
  <si>
    <t>מספר הפרויקטים המטופל ע"י החברה לפיתוח התיירות הרצליה :</t>
  </si>
  <si>
    <t>מספר הפרויקטים המטופל ע"י אגף תקשוב ומערכות מידע :</t>
  </si>
  <si>
    <t xml:space="preserve">סך התקציב הנדרש בשנת 2023 במינהל כללי  מסתכם ב - </t>
  </si>
  <si>
    <t>מינהל כללי (*)</t>
  </si>
  <si>
    <t xml:space="preserve">סך התקציב הנדרש בשנת 2023 ע"י אגף נכסים וביטוח מסתכם ב - </t>
  </si>
  <si>
    <t>תוכנית פיתוח שנתית 2022 : מימוש - מינהל הנדסה</t>
  </si>
  <si>
    <t>תוכנית פיתוח שנתית 2022 : מימוש - החברה לפיתוח הרצליה</t>
  </si>
  <si>
    <t>תוכנית פיתוח שנתית 2022 : מימוש - מינהל תפעול</t>
  </si>
  <si>
    <t>תוכנית פיתוח שנתית 2022 : מימוש - אגף חינוך</t>
  </si>
  <si>
    <t>תוכנית פיתוח שנתית 2022 : מימוש - אגף ת.נ.ו.ס</t>
  </si>
  <si>
    <t>תוכנית פיתוח שנתית 2022 : מימוש - החברה לפיתוח התיירות הרצליה</t>
  </si>
  <si>
    <t>תוכנית פיתוח שנתית 2022 : מימוש - אגף תקשוב ומערכות מידע</t>
  </si>
  <si>
    <t>תוכנית פיתוח שנתית 2022 : מימוש - אגף  נכסים וביטוח</t>
  </si>
  <si>
    <t>תוכנית פיתוח שנתית 2022 : מימוש - מינהל כללי</t>
  </si>
  <si>
    <t xml:space="preserve">החברה לפיתוח התיירות </t>
  </si>
  <si>
    <t>אגף תיקשוב ומערכות מידע</t>
  </si>
  <si>
    <t>סה"כ אגף תיקשוב ומערכות מידע</t>
  </si>
  <si>
    <t>הצעת התקציב הבלתי רגיל לשנת 2022 הסתכמה בסכום של  474,969 אלפי ₪ .</t>
  </si>
  <si>
    <t xml:space="preserve">דו"ח מפורט מובא בעמודים  97-138 </t>
  </si>
  <si>
    <t xml:space="preserve">הפרויקטים הבולטים לשנת 2023 הינם :  </t>
  </si>
  <si>
    <t xml:space="preserve">תוספת קומה והקמת חדרי פעילויות. </t>
  </si>
  <si>
    <t>תכנון מתחם צומת כדורי לפינוי ובינוי.בשלב הנעת התכנון לשלב סטטוטורי. מימון מ. הבינוי.</t>
  </si>
  <si>
    <t>השלמת תכנון עד להיתר לחניון אוטובוסים.ח-ן סופיים. יתרת מימון מ. התחבורה.</t>
  </si>
  <si>
    <t>בניית אולם ספורט חדש בחטיבה. סיום. לסגירה.</t>
  </si>
  <si>
    <t xml:space="preserve">פיתוח הגשר מעל כביש 20 איזור גליל ים.  תכנון. </t>
  </si>
  <si>
    <t xml:space="preserve">בניית בית ספר ברח' משה-12 כתות. </t>
  </si>
  <si>
    <t xml:space="preserve">עבודות בניה ופיתוח מרכז מדעיים וקהילה באלתרמן. מבנה 5 קומות ופיתוח. </t>
  </si>
  <si>
    <t>מסגרת עבודות של החלפת עמודי תאורה באיזור התעשיה.</t>
  </si>
  <si>
    <t xml:space="preserve">עבודות הקמת אולם ספורט בנגיד  כולל הריסת אולמות ומקלט קיימים. </t>
  </si>
  <si>
    <t>בניית 3 גנ"י בנווה עמל. חלקות בבעלות רמ"י. נדחה עד הכרת מ. החינוך והסכם חכירה רמ"י.</t>
  </si>
  <si>
    <t>תכנון שיפוץ/הריסה ובניה מחדש של בי"ס. הריסה של 18 כיתות, ובניה של 24 כיתות,6 כיתות  ח"מ. מימון מ. החינוך תוספת הרשאה.</t>
  </si>
  <si>
    <t xml:space="preserve">תכנון פיתוח רחוב הפרטיזנים. מדרכה מזרחית/דרומית, עבודות ניקוז. </t>
  </si>
  <si>
    <t xml:space="preserve">הפיכת תוכנית אסטרטגית  לתוכנית סטטוטורית, לתוכנית מתאר בועדה המחוזית בהתאם ליו"ר הועדה המחוזית. </t>
  </si>
  <si>
    <t>תכנון וביצוע הקמת 4 כיתות גן במתחם זרובבל. לסגירה.</t>
  </si>
  <si>
    <t xml:space="preserve">תכנון וביצוע הקמת 5 כיתות גן במתחם השמעוני. מימון מ. החינוך. </t>
  </si>
  <si>
    <t>הריסת מבנים קיימים ובניה מתחם חדש:בי"ס יסודי 24 כיתות, 4 כיתות ח"מ, אולם ספורט, מגרש ספורט מוצלל, 4 כיתות גנ"י. מימון מ. החינוך.</t>
  </si>
  <si>
    <t>תכנון חט"ב חדשה 24 כיתות באלתרמן. מימון מ. החינוך.</t>
  </si>
  <si>
    <t>בניית בי"ס יסודי 18 כיתות , 5 כיתות גן , מועדון תנועת נוער, אולם ספורט בינוני , מגרש ספורט משולב, חניון תתקרקעי 2 מפלסים.  מימון מ. החינוך בי"ס,גנ"י.</t>
  </si>
  <si>
    <t xml:space="preserve">בי"ס יסודי בשטח 304.תכנון. </t>
  </si>
  <si>
    <t>בנית פיר מעלית חיצוני בעקבות ביקורת של יועץ נגישות וקושי הנדסי לבנות את הפיר בתוך המבנה. מימון מ. הדתות. כולל שיפוץ המרפסת והמדרגות.</t>
  </si>
  <si>
    <t>פרויקט  בניית אודיטוריום ,תוספת 6 כתות ו-2 ממ"דים ,שיפוץ כללי ומעלית כולל איטום גג אולם ספורט.  מימון מ.החינוך.</t>
  </si>
  <si>
    <t xml:space="preserve">החלפת מזגנים והחלפת תאורה ללדים במוס"ח. מימון מ. הכלכלה והתעשיה.  </t>
  </si>
  <si>
    <t xml:space="preserve">החלפת רכבים קיימים ,רכישת תוספת רכבים והתקנת עמדות טעינה עפ"י רשימה שתאושר ע"י הנהלת העיר. </t>
  </si>
  <si>
    <t xml:space="preserve">השלמת ביצוע  עבודות סלילה ופיתוח סופי רח' דן שומרון. תכנון רח' דורי. </t>
  </si>
  <si>
    <t>העסקת צוות יועצים שילווה את התכנון והביצוע של הפרויקט. התב"ר לסגירה. ראה תב"ר 1366.</t>
  </si>
  <si>
    <t>תכנון התחדשות עירונית ביד התשעה במסגרת תוכנית כללית/תוכניות מתחמיות. 2022 : הכנת מסמך עקרונות.</t>
  </si>
  <si>
    <t>בדיקת התכנות של מתחמי פינוי בינוי ותכנון פרויקטים להתחדשות עירונית ופינוי בינוי. איחוד עם תב"ר 1674.</t>
  </si>
  <si>
    <t>בדיקת התכנות טרם קביעת ותוך כדי בחינת מתחמי פינוי בינוי. ראה תב"ר 1660.</t>
  </si>
  <si>
    <t>הכנת מסמכי מדיניות להתחדשות עירונית בשכונות לגיבוש מדיניות לחידוש המרקם הקיים בשכונות. רח' הרב קוק  , רח' בן גוריון ,תוכנית הר/2213. איחוד עם תב"ר 1759.</t>
  </si>
  <si>
    <t xml:space="preserve">תוכנית לצורך מידע מה וכמה ניתן לבנות  בהתאם לתשתיות הקיימות במרכז ותוכנית לבחינת הנדרש לאוכלוסיה בשכונות עפ"י תחזיות גידול האוכלוסיה. התב"ר לסגירה. ראה תב"ר 1756. </t>
  </si>
  <si>
    <t xml:space="preserve">תכנון איזור תעשיה ושכונת מגורים במשולש התחבורה. מקודם בותמ"ל .  </t>
  </si>
  <si>
    <t xml:space="preserve">הארכת דרך ירושלים  מרחוב סוקולוב עד ליפקין שחק כולל דרך ושביל אופניים , פיתוח רחוב יבנה והנגב . תכנון. </t>
  </si>
  <si>
    <t>תכנון מתחם צומת כדורי לפינוי ובינוי.התוכנית בשלב של הנעת התכנון לשלבים סטטוטוריים. מימון מ. הבינוי.</t>
  </si>
  <si>
    <t>השלמת תכנון עד להיתר לחניון אוטובוסים. ח-ן סופיים. יתרת מימון מ. התחבורה.</t>
  </si>
  <si>
    <t xml:space="preserve">פיתוח מתחם אולפני הרצליה תב"ע הר' 2180. תכנון. </t>
  </si>
  <si>
    <t>פיתוח הגשר מעל כביש 20 איזור גליל ים.  ב - 2022 : תכנון. בשלבי בחירת מנהל פרויקט.</t>
  </si>
  <si>
    <t>עבודות בניה ופיתוח מרכז מדעיים וקהילה באלתרמן. מבנה 5 קומות ופיתוח. מימון מ.החינוך.</t>
  </si>
  <si>
    <t xml:space="preserve">בניית 6 כיתות גנ"י במתחם ויצמן.מימון מ. החינוך. </t>
  </si>
  <si>
    <t xml:space="preserve">תכנון שיפוץ/הריסה ובניה מחדש של בי"ס. הריסה של 18 כיתות, ובניה של 24 כיתות,6 כיתות  ח"מ. </t>
  </si>
  <si>
    <t>הוספת 6 כיתות כולל מיקלוט במתחם בי"ס נבון. ח-ן סופיים.</t>
  </si>
  <si>
    <t>תכנון וביצוע הקמת 4 כיתות גן במתחם זרובבל. מימון מ. החינוך.</t>
  </si>
  <si>
    <t xml:space="preserve">תכנון וביצוע של תוספת 6 כיתות ומעבדות בתיכון היובל. </t>
  </si>
  <si>
    <t xml:space="preserve">תכנון חט"ב חדשה 24 כיתות באלתרמן. </t>
  </si>
  <si>
    <t>בניית בי"ס יסודי (18) , 24 כיתות חט"ב ותיכון , אולם ספורט בינוני , מגרש ספורט , חניון תתקרקעי 2 מפלסים. מימון מ. החינוך.</t>
  </si>
  <si>
    <t xml:space="preserve">בניית 3 כיתות גן , בניית החניון במימון  חברת אפריקה ישראל. גנ"י:  מימון מ. החינוך. </t>
  </si>
  <si>
    <t xml:space="preserve">בי"ס יסודי בשטח 304.ב - 2021: תכנון. </t>
  </si>
  <si>
    <t>כיתות גן (3) נוספות מגרש 302 גליל ים. מימון מ. החינוך.</t>
  </si>
  <si>
    <t>שדרוג תשתיות בגינות קהילתיות וחורשות קיימות. הקמת גינה בגליל ים ונוספת בנווה ישראל.</t>
  </si>
  <si>
    <t>הסרת גגות אסבסט ממבנים בעיר וסיוע לתושבים לאיסוף אסבסט בהיקפים קטנים. ראה תב"ר 1435.</t>
  </si>
  <si>
    <t>בנית פיר מעלית חיצוני בעקבות ביקורת של יועץ נגישות וקושי הנדסי לבנות את הפיר בתוך המבנה. מימון מ. הדתות. ההיתר בשלבים מתקדמים. כולל שיפוץ המרפסת והמדרגות.</t>
  </si>
  <si>
    <t xml:space="preserve">בניית בית ספר ברח' משה-12 כתות. מימון מ. החינוך. </t>
  </si>
  <si>
    <t>פרויקט  בניית אודיטוריום ,תוספת 6 כתות ו-2 ממ"דים ,שיפוץ כללי. אודיטוריום - מימון מ.הפיס.</t>
  </si>
  <si>
    <t xml:space="preserve">הקמת תחנות הצלה חדשות בחוף אכדיה צפון ובחוף סדני עלי. בקשה למימון למשרד הפנים תוגש בתחילת שנת 2022. </t>
  </si>
  <si>
    <t xml:space="preserve">הצטיידות  גנים חדשים כולל  ח"מ במקביל לבניה ופתיחת גנים במבנים קיימים . </t>
  </si>
  <si>
    <t xml:space="preserve">המשך הצטיידות ומיחשוב בי"ס החדש  יצחק נבון כולל בגין תוספת 6 כיתות . </t>
  </si>
  <si>
    <t>הצטיידות 20 גנ"י ח"ר וח"מ  במגרשים 303,302,404. במקביל לבנית גנ"י בביצוע של החב. לפיתוח. תוספת למגרשים 406 ו-408.</t>
  </si>
  <si>
    <t>שיפוץ מועדון הנוער יוסף נבו 18 הכולל איטום גגות וקירות, החלפות תקרות. חן סופיים.</t>
  </si>
  <si>
    <t xml:space="preserve">הצללות בי"ס וגנ"י  ומתנס"ים </t>
  </si>
  <si>
    <t xml:space="preserve">פרויקטים קטנים  מינהל התפעול </t>
  </si>
  <si>
    <t>פיר מעלית ומעלית בנין המועצה הדתית  כולל שיפוץ המרפסת ומדרגות</t>
  </si>
  <si>
    <t xml:space="preserve">הקמת פינות מיחזור וגזם ברחבי העיר </t>
  </si>
  <si>
    <t xml:space="preserve">הסדרת שטחי מוס"ח ברחבי העיר </t>
  </si>
  <si>
    <t xml:space="preserve">בי"ס דמוקרטי- התאמת מבנה  בפארק  </t>
  </si>
  <si>
    <t>ביכנ"ס ע"ש הרב שלמה קוממי זצ"ל ומרכז לטיפול בגיל הרך מגרש 301 גליל ים</t>
  </si>
  <si>
    <r>
      <t xml:space="preserve">ניהול פניות  </t>
    </r>
    <r>
      <rPr>
        <b/>
        <sz val="12"/>
        <color theme="1"/>
        <rFont val="David"/>
        <family val="2"/>
      </rPr>
      <t>וכרטיס תושב דיגיטלי.</t>
    </r>
  </si>
  <si>
    <r>
      <t xml:space="preserve">תב"ר 2082 : הקמת אתר עירוני, פורטל ומע. לניהול פניות  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 xml:space="preserve"> הקמת אתר עירוני, פורטל ,מע. </t>
    </r>
  </si>
  <si>
    <r>
      <t xml:space="preserve">הקמת אתר עירוני , פורטל , </t>
    </r>
    <r>
      <rPr>
        <sz val="11"/>
        <rFont val="David"/>
        <family val="2"/>
      </rPr>
      <t>מע. לניהול פניות</t>
    </r>
    <r>
      <rPr>
        <b/>
        <sz val="11"/>
        <rFont val="David"/>
        <family val="2"/>
      </rPr>
      <t xml:space="preserve"> וכרטיס תושב דיגיטלי (*) עדכון</t>
    </r>
  </si>
  <si>
    <r>
      <t xml:space="preserve">תב"ר 2222 : פרויקטים דחופים בצ"מ 2021/2022  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>פרויקטים דחופים בצ"מ 2021/2022/</t>
    </r>
    <r>
      <rPr>
        <b/>
        <sz val="12"/>
        <color theme="1"/>
        <rFont val="David"/>
        <family val="2"/>
      </rPr>
      <t>2023</t>
    </r>
    <r>
      <rPr>
        <sz val="12"/>
        <color theme="1"/>
        <rFont val="David"/>
        <family val="2"/>
      </rPr>
      <t xml:space="preserve"> </t>
    </r>
  </si>
  <si>
    <r>
      <t>פרויקטים דחופים בצ"מ 2021/2022/</t>
    </r>
    <r>
      <rPr>
        <b/>
        <sz val="11"/>
        <rFont val="David"/>
        <family val="2"/>
      </rPr>
      <t>2023 (*) עדכון</t>
    </r>
  </si>
  <si>
    <t xml:space="preserve">עב' פיתוח דחופות בלתי צפויות, מימוני ביניים, שיתעוררו במהלך השנה ויבוצעו עפ"י החלטות הנהלת העיר. שנים 2021/2022/2023. </t>
  </si>
  <si>
    <t>פתרונות חלופיים לשוברי הגלים</t>
  </si>
  <si>
    <t>תכנון ויישום של פתרונות חלופיים לשוברי הגלים.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</si>
</sst>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0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name val="David"/>
      <family val="2"/>
      <charset val="177"/>
    </font>
    <font>
      <b/>
      <sz val="11"/>
      <name val="David"/>
      <family val="2"/>
      <charset val="177"/>
    </font>
    <font>
      <sz val="11"/>
      <name val="David"/>
      <family val="2"/>
      <charset val="177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sz val="10"/>
      <name val="Arial"/>
      <family val="2"/>
      <scheme val="minor"/>
    </font>
    <font>
      <sz val="10"/>
      <name val="Arial"/>
      <family val="2"/>
    </font>
    <font>
      <b/>
      <u/>
      <sz val="18"/>
      <name val="David"/>
      <family val="2"/>
      <charset val="177"/>
    </font>
    <font>
      <b/>
      <u/>
      <sz val="14"/>
      <name val="David"/>
      <family val="2"/>
      <charset val="177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  <charset val="177"/>
      <scheme val="minor"/>
    </font>
    <font>
      <strike/>
      <sz val="11"/>
      <name val="David"/>
      <family val="2"/>
      <charset val="177"/>
    </font>
    <font>
      <sz val="10"/>
      <name val="Arial"/>
      <family val="2"/>
    </font>
    <font>
      <sz val="11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sz val="11"/>
      <color rgb="FF000000"/>
      <name val="Nachlieli CLM"/>
      <family val="2"/>
      <charset val="1"/>
    </font>
    <font>
      <b/>
      <u/>
      <sz val="16"/>
      <name val="David"/>
      <family val="2"/>
      <charset val="177"/>
    </font>
    <font>
      <b/>
      <u/>
      <sz val="16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theme="1"/>
      <name val="Wingdings"/>
      <charset val="2"/>
    </font>
    <font>
      <strike/>
      <sz val="12"/>
      <color theme="1"/>
      <name val="Times New Roman"/>
      <family val="1"/>
    </font>
    <font>
      <sz val="14"/>
      <color theme="1"/>
      <name val="David"/>
      <family val="2"/>
      <charset val="177"/>
    </font>
    <font>
      <b/>
      <u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u val="singleAccounting"/>
      <sz val="12"/>
      <color theme="1"/>
      <name val="David"/>
      <family val="2"/>
      <charset val="177"/>
    </font>
    <font>
      <b/>
      <u val="doubleAccounting"/>
      <sz val="12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2"/>
      <color theme="1"/>
      <name val="David"/>
      <family val="2"/>
    </font>
    <font>
      <sz val="11"/>
      <color theme="1"/>
      <name val="Wingdings"/>
      <charset val="2"/>
    </font>
    <font>
      <sz val="12"/>
      <color theme="1"/>
      <name val="David"/>
      <family val="2"/>
    </font>
    <font>
      <strike/>
      <sz val="11"/>
      <name val="David"/>
      <family val="2"/>
    </font>
    <font>
      <b/>
      <sz val="18"/>
      <color theme="1"/>
      <name val="David"/>
      <family val="2"/>
    </font>
    <font>
      <b/>
      <u/>
      <sz val="18"/>
      <name val="David"/>
      <family val="2"/>
    </font>
    <font>
      <b/>
      <sz val="16"/>
      <color theme="1"/>
      <name val="David"/>
      <family val="2"/>
    </font>
    <font>
      <b/>
      <sz val="16"/>
      <color theme="1"/>
      <name val="Arial"/>
      <family val="2"/>
      <scheme val="minor"/>
    </font>
    <font>
      <b/>
      <u/>
      <sz val="12"/>
      <color theme="1"/>
      <name val="David"/>
      <family val="2"/>
    </font>
    <font>
      <b/>
      <u/>
      <sz val="11"/>
      <color theme="1"/>
      <name val="Arial"/>
      <family val="2"/>
      <scheme val="minor"/>
    </font>
    <font>
      <b/>
      <sz val="11"/>
      <color theme="1"/>
      <name val="Wingdings"/>
      <charset val="2"/>
    </font>
    <font>
      <strike/>
      <sz val="12"/>
      <color theme="1"/>
      <name val="David"/>
      <family val="2"/>
      <charset val="177"/>
    </font>
    <font>
      <strike/>
      <sz val="11"/>
      <color theme="1"/>
      <name val="Arial"/>
      <family val="2"/>
      <charset val="177"/>
      <scheme val="minor"/>
    </font>
    <font>
      <b/>
      <strike/>
      <sz val="11"/>
      <color theme="1"/>
      <name val="Arial"/>
      <family val="2"/>
      <scheme val="minor"/>
    </font>
    <font>
      <b/>
      <sz val="11"/>
      <color rgb="FFFF0000"/>
      <name val="David"/>
      <family val="2"/>
    </font>
    <font>
      <b/>
      <sz val="10"/>
      <name val="David"/>
      <family val="2"/>
      <charset val="177"/>
    </font>
    <font>
      <sz val="9"/>
      <name val="David"/>
      <family val="2"/>
    </font>
    <font>
      <b/>
      <sz val="10"/>
      <name val="Arial"/>
      <family val="2"/>
    </font>
    <font>
      <sz val="12"/>
      <name val="Arial"/>
      <family val="2"/>
      <scheme val="minor"/>
    </font>
    <font>
      <b/>
      <sz val="16"/>
      <name val="David"/>
      <family val="2"/>
    </font>
    <font>
      <b/>
      <sz val="10"/>
      <name val="David"/>
      <family val="2"/>
    </font>
    <font>
      <sz val="12"/>
      <color rgb="FFFF0000"/>
      <name val="David"/>
      <family val="2"/>
      <charset val="177"/>
    </font>
    <font>
      <b/>
      <sz val="12"/>
      <color rgb="FFFF0000"/>
      <name val="David"/>
      <family val="2"/>
      <charset val="177"/>
    </font>
    <font>
      <sz val="11"/>
      <color rgb="FF3333FF"/>
      <name val="David"/>
      <family val="2"/>
      <charset val="177"/>
    </font>
    <font>
      <sz val="11"/>
      <color rgb="FF7030A0"/>
      <name val="David"/>
      <family val="2"/>
      <charset val="177"/>
    </font>
    <font>
      <b/>
      <sz val="14"/>
      <name val="David"/>
      <family val="2"/>
    </font>
    <font>
      <sz val="11"/>
      <color rgb="FF0070C0"/>
      <name val="David"/>
      <family val="2"/>
    </font>
    <font>
      <sz val="11"/>
      <color rgb="FFFF0000"/>
      <name val="David"/>
      <family val="2"/>
      <charset val="177"/>
    </font>
    <font>
      <sz val="11"/>
      <color rgb="FF00B050"/>
      <name val="David"/>
      <family val="2"/>
      <charset val="177"/>
    </font>
    <font>
      <b/>
      <u/>
      <sz val="16"/>
      <name val="David"/>
      <family val="2"/>
    </font>
    <font>
      <b/>
      <sz val="11"/>
      <color rgb="FF7030A0"/>
      <name val="David"/>
      <family val="2"/>
    </font>
    <font>
      <sz val="12"/>
      <color rgb="FF0070C0"/>
      <name val="David"/>
      <family val="2"/>
      <charset val="177"/>
    </font>
    <font>
      <sz val="12"/>
      <color rgb="FF7030A0"/>
      <name val="David"/>
      <family val="2"/>
      <charset val="177"/>
    </font>
    <font>
      <b/>
      <sz val="12"/>
      <color rgb="FFFF0000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35" fillId="0" borderId="0"/>
    <xf numFmtId="0" fontId="41" fillId="0" borderId="0">
      <alignment vertical="top"/>
    </xf>
    <xf numFmtId="0" fontId="35" fillId="2" borderId="1" applyNumberFormat="0" applyFont="0" applyAlignment="0" applyProtection="0"/>
    <xf numFmtId="0" fontId="42" fillId="0" borderId="0"/>
    <xf numFmtId="0" fontId="34" fillId="0" borderId="0"/>
    <xf numFmtId="0" fontId="34" fillId="0" borderId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3" fillId="0" borderId="0"/>
    <xf numFmtId="43" fontId="49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0" fontId="32" fillId="0" borderId="0"/>
    <xf numFmtId="0" fontId="4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7" fillId="0" borderId="0"/>
    <xf numFmtId="0" fontId="26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660">
    <xf numFmtId="0" fontId="0" fillId="0" borderId="0" xfId="0"/>
    <xf numFmtId="0" fontId="38" fillId="0" borderId="0" xfId="0" applyFont="1" applyFill="1" applyAlignment="1">
      <alignment wrapText="1"/>
    </xf>
    <xf numFmtId="3" fontId="37" fillId="0" borderId="2" xfId="4" applyNumberFormat="1" applyFont="1" applyBorder="1" applyAlignment="1">
      <alignment horizontal="right" vertical="center" wrapText="1"/>
    </xf>
    <xf numFmtId="0" fontId="38" fillId="0" borderId="2" xfId="4" applyFont="1" applyFill="1" applyBorder="1" applyAlignment="1">
      <alignment vertical="center" wrapText="1"/>
    </xf>
    <xf numFmtId="3" fontId="38" fillId="0" borderId="2" xfId="4" applyNumberFormat="1" applyFont="1" applyFill="1" applyBorder="1" applyAlignment="1">
      <alignment vertical="center" wrapText="1"/>
    </xf>
    <xf numFmtId="0" fontId="38" fillId="0" borderId="0" xfId="4" applyFont="1" applyFill="1" applyAlignment="1">
      <alignment vertical="center" wrapText="1"/>
    </xf>
    <xf numFmtId="0" fontId="37" fillId="0" borderId="0" xfId="4" applyFont="1" applyFill="1" applyAlignment="1">
      <alignment vertical="center" wrapText="1"/>
    </xf>
    <xf numFmtId="0" fontId="37" fillId="0" borderId="2" xfId="4" applyFont="1" applyFill="1" applyBorder="1" applyAlignment="1">
      <alignment vertical="center" wrapText="1"/>
    </xf>
    <xf numFmtId="3" fontId="37" fillId="0" borderId="2" xfId="4" applyNumberFormat="1" applyFont="1" applyFill="1" applyBorder="1" applyAlignment="1">
      <alignment vertical="center" wrapText="1"/>
    </xf>
    <xf numFmtId="3" fontId="37" fillId="0" borderId="2" xfId="4" applyNumberFormat="1" applyFont="1" applyFill="1" applyBorder="1" applyAlignment="1">
      <alignment horizontal="right" vertical="center" wrapText="1"/>
    </xf>
    <xf numFmtId="3" fontId="39" fillId="0" borderId="2" xfId="4" applyNumberFormat="1" applyFont="1" applyFill="1" applyBorder="1" applyAlignment="1">
      <alignment vertical="center" wrapText="1"/>
    </xf>
    <xf numFmtId="0" fontId="38" fillId="0" borderId="0" xfId="4" applyFont="1" applyFill="1"/>
    <xf numFmtId="3" fontId="38" fillId="0" borderId="0" xfId="4" applyNumberFormat="1" applyFont="1" applyFill="1" applyAlignment="1">
      <alignment horizontal="center" vertical="center"/>
    </xf>
    <xf numFmtId="3" fontId="38" fillId="0" borderId="0" xfId="4" applyNumberFormat="1" applyFont="1" applyFill="1"/>
    <xf numFmtId="3" fontId="37" fillId="0" borderId="2" xfId="0" applyNumberFormat="1" applyFont="1" applyFill="1" applyBorder="1" applyAlignment="1">
      <alignment horizontal="right" vertical="center" wrapText="1"/>
    </xf>
    <xf numFmtId="0" fontId="37" fillId="0" borderId="2" xfId="4" applyFont="1" applyFill="1" applyBorder="1" applyAlignment="1">
      <alignment horizontal="right" vertical="center" wrapText="1"/>
    </xf>
    <xf numFmtId="0" fontId="38" fillId="0" borderId="0" xfId="4" applyFont="1" applyFill="1" applyBorder="1"/>
    <xf numFmtId="0" fontId="38" fillId="0" borderId="0" xfId="4" applyFont="1" applyFill="1" applyAlignment="1">
      <alignment wrapText="1"/>
    </xf>
    <xf numFmtId="3" fontId="38" fillId="0" borderId="2" xfId="4" applyNumberFormat="1" applyFont="1" applyFill="1" applyBorder="1"/>
    <xf numFmtId="0" fontId="37" fillId="0" borderId="2" xfId="0" applyFont="1" applyFill="1" applyBorder="1" applyAlignment="1">
      <alignment horizontal="right" vertical="center" wrapText="1"/>
    </xf>
    <xf numFmtId="3" fontId="38" fillId="0" borderId="0" xfId="4" applyNumberFormat="1" applyFont="1" applyFill="1" applyBorder="1"/>
    <xf numFmtId="0" fontId="38" fillId="0" borderId="0" xfId="4" applyFont="1" applyFill="1" applyBorder="1" applyAlignment="1">
      <alignment vertical="center" wrapText="1"/>
    </xf>
    <xf numFmtId="0" fontId="37" fillId="0" borderId="0" xfId="4" applyFont="1" applyFill="1" applyBorder="1" applyAlignment="1">
      <alignment horizontal="right" vertical="center" wrapText="1"/>
    </xf>
    <xf numFmtId="3" fontId="39" fillId="0" borderId="0" xfId="4" applyNumberFormat="1" applyFont="1" applyFill="1" applyBorder="1" applyAlignment="1">
      <alignment vertical="center" wrapText="1"/>
    </xf>
    <xf numFmtId="0" fontId="36" fillId="0" borderId="0" xfId="4" applyFont="1" applyFill="1" applyAlignment="1"/>
    <xf numFmtId="0" fontId="36" fillId="0" borderId="0" xfId="4" applyFont="1" applyFill="1"/>
    <xf numFmtId="0" fontId="38" fillId="0" borderId="0" xfId="4" applyFont="1" applyFill="1" applyAlignment="1"/>
    <xf numFmtId="3" fontId="37" fillId="0" borderId="0" xfId="4" applyNumberFormat="1" applyFont="1" applyFill="1" applyBorder="1" applyAlignment="1">
      <alignment horizontal="right" vertical="center" wrapText="1"/>
    </xf>
    <xf numFmtId="0" fontId="50" fillId="0" borderId="2" xfId="4" applyFont="1" applyFill="1" applyBorder="1" applyAlignment="1">
      <alignment vertical="center" wrapText="1"/>
    </xf>
    <xf numFmtId="0" fontId="51" fillId="0" borderId="2" xfId="4" applyFont="1" applyFill="1" applyBorder="1" applyAlignment="1">
      <alignment vertical="center" wrapText="1"/>
    </xf>
    <xf numFmtId="0" fontId="40" fillId="0" borderId="2" xfId="4" applyFont="1" applyFill="1" applyBorder="1" applyAlignment="1">
      <alignment vertical="center" wrapText="1"/>
    </xf>
    <xf numFmtId="0" fontId="40" fillId="0" borderId="0" xfId="4" applyFont="1" applyFill="1" applyBorder="1" applyAlignment="1">
      <alignment vertical="center" wrapText="1"/>
    </xf>
    <xf numFmtId="0" fontId="43" fillId="0" borderId="0" xfId="4" applyFont="1" applyFill="1" applyBorder="1"/>
    <xf numFmtId="0" fontId="43" fillId="0" borderId="0" xfId="4" applyFont="1" applyFill="1" applyBorder="1" applyAlignment="1">
      <alignment horizontal="right" vertical="center" wrapText="1"/>
    </xf>
    <xf numFmtId="0" fontId="43" fillId="0" borderId="0" xfId="4" applyFont="1" applyFill="1" applyBorder="1" applyAlignment="1">
      <alignment horizontal="right" vertical="center"/>
    </xf>
    <xf numFmtId="0" fontId="43" fillId="0" borderId="0" xfId="4" applyFont="1" applyFill="1" applyBorder="1" applyAlignment="1">
      <alignment vertical="center"/>
    </xf>
    <xf numFmtId="0" fontId="40" fillId="0" borderId="2" xfId="4" applyFont="1" applyFill="1" applyBorder="1" applyAlignment="1">
      <alignment horizontal="right" vertical="center" wrapText="1"/>
    </xf>
    <xf numFmtId="0" fontId="40" fillId="0" borderId="0" xfId="4" applyFont="1" applyFill="1" applyBorder="1"/>
    <xf numFmtId="3" fontId="39" fillId="0" borderId="2" xfId="4" applyNumberFormat="1" applyFont="1" applyFill="1" applyBorder="1" applyAlignment="1">
      <alignment vertical="center"/>
    </xf>
    <xf numFmtId="3" fontId="39" fillId="0" borderId="0" xfId="4" applyNumberFormat="1" applyFont="1" applyFill="1" applyBorder="1" applyAlignment="1">
      <alignment vertical="center"/>
    </xf>
    <xf numFmtId="0" fontId="39" fillId="0" borderId="0" xfId="4" applyFont="1" applyFill="1" applyBorder="1" applyAlignment="1">
      <alignment vertical="center"/>
    </xf>
    <xf numFmtId="0" fontId="39" fillId="0" borderId="6" xfId="4" applyFont="1" applyFill="1" applyBorder="1" applyAlignment="1">
      <alignment vertical="center"/>
    </xf>
    <xf numFmtId="0" fontId="39" fillId="0" borderId="0" xfId="4" applyFont="1" applyFill="1" applyBorder="1"/>
    <xf numFmtId="3" fontId="39" fillId="0" borderId="0" xfId="4" applyNumberFormat="1" applyFont="1" applyFill="1" applyBorder="1"/>
    <xf numFmtId="0" fontId="39" fillId="0" borderId="0" xfId="4" applyFont="1" applyFill="1" applyBorder="1" applyAlignment="1">
      <alignment horizontal="right" vertical="center" wrapText="1"/>
    </xf>
    <xf numFmtId="0" fontId="39" fillId="0" borderId="0" xfId="4" applyFont="1" applyFill="1" applyBorder="1" applyAlignment="1">
      <alignment horizontal="right" vertical="center"/>
    </xf>
    <xf numFmtId="0" fontId="39" fillId="0" borderId="7" xfId="4" applyFont="1" applyFill="1" applyBorder="1" applyAlignment="1">
      <alignment horizontal="right" vertical="center"/>
    </xf>
    <xf numFmtId="0" fontId="39" fillId="0" borderId="8" xfId="4" applyFont="1" applyFill="1" applyBorder="1" applyAlignment="1">
      <alignment horizontal="right" vertical="center"/>
    </xf>
    <xf numFmtId="0" fontId="39" fillId="0" borderId="9" xfId="4" applyFont="1" applyFill="1" applyBorder="1" applyAlignment="1">
      <alignment horizontal="right" vertical="center"/>
    </xf>
    <xf numFmtId="0" fontId="40" fillId="0" borderId="2" xfId="4" applyFont="1" applyFill="1" applyBorder="1" applyAlignment="1">
      <alignment horizontal="right" vertical="center"/>
    </xf>
    <xf numFmtId="0" fontId="39" fillId="0" borderId="5" xfId="4" applyFont="1" applyFill="1" applyBorder="1" applyAlignment="1">
      <alignment vertical="center"/>
    </xf>
    <xf numFmtId="0" fontId="40" fillId="0" borderId="6" xfId="4" applyFont="1" applyFill="1" applyBorder="1" applyAlignment="1">
      <alignment horizontal="right" vertical="center"/>
    </xf>
    <xf numFmtId="3" fontId="40" fillId="0" borderId="2" xfId="4" applyNumberFormat="1" applyFont="1" applyFill="1" applyBorder="1" applyAlignment="1">
      <alignment horizontal="right" vertical="center"/>
    </xf>
    <xf numFmtId="3" fontId="40" fillId="0" borderId="0" xfId="4" applyNumberFormat="1" applyFont="1" applyFill="1" applyBorder="1" applyAlignment="1">
      <alignment horizontal="right" vertical="center"/>
    </xf>
    <xf numFmtId="165" fontId="39" fillId="0" borderId="0" xfId="12" applyNumberFormat="1" applyFont="1" applyFill="1" applyBorder="1" applyAlignment="1">
      <alignment horizontal="right" vertical="center"/>
    </xf>
    <xf numFmtId="0" fontId="40" fillId="0" borderId="0" xfId="4" applyFont="1" applyFill="1" applyBorder="1" applyAlignment="1">
      <alignment horizontal="right" vertical="center"/>
    </xf>
    <xf numFmtId="3" fontId="39" fillId="0" borderId="0" xfId="4" applyNumberFormat="1" applyFont="1" applyFill="1" applyBorder="1" applyAlignment="1">
      <alignment horizontal="right" vertical="center"/>
    </xf>
    <xf numFmtId="0" fontId="51" fillId="0" borderId="0" xfId="4" applyFont="1" applyFill="1" applyAlignment="1">
      <alignment vertical="center" wrapText="1"/>
    </xf>
    <xf numFmtId="0" fontId="44" fillId="0" borderId="0" xfId="4" applyFont="1" applyFill="1" applyAlignment="1"/>
    <xf numFmtId="3" fontId="38" fillId="0" borderId="2" xfId="4" applyNumberFormat="1" applyFont="1" applyFill="1" applyBorder="1" applyAlignment="1">
      <alignment horizontal="right" vertical="center" wrapText="1"/>
    </xf>
    <xf numFmtId="3" fontId="51" fillId="0" borderId="2" xfId="4" applyNumberFormat="1" applyFont="1" applyFill="1" applyBorder="1" applyAlignment="1">
      <alignment vertical="center" wrapText="1"/>
    </xf>
    <xf numFmtId="0" fontId="39" fillId="0" borderId="0" xfId="16" applyFont="1"/>
    <xf numFmtId="49" fontId="39" fillId="0" borderId="0" xfId="16" applyNumberFormat="1" applyFont="1"/>
    <xf numFmtId="3" fontId="39" fillId="0" borderId="0" xfId="16" applyNumberFormat="1" applyFont="1"/>
    <xf numFmtId="0" fontId="39" fillId="0" borderId="11" xfId="16" applyFont="1" applyBorder="1"/>
    <xf numFmtId="0" fontId="39" fillId="0" borderId="12" xfId="16" applyFont="1" applyBorder="1"/>
    <xf numFmtId="0" fontId="39" fillId="0" borderId="18" xfId="16" applyFont="1" applyBorder="1"/>
    <xf numFmtId="3" fontId="39" fillId="0" borderId="2" xfId="16" applyNumberFormat="1" applyFont="1" applyBorder="1"/>
    <xf numFmtId="3" fontId="39" fillId="0" borderId="19" xfId="16" applyNumberFormat="1" applyFont="1" applyBorder="1"/>
    <xf numFmtId="0" fontId="40" fillId="0" borderId="12" xfId="16" applyFont="1" applyBorder="1"/>
    <xf numFmtId="3" fontId="39" fillId="0" borderId="18" xfId="16" applyNumberFormat="1" applyFont="1" applyBorder="1"/>
    <xf numFmtId="0" fontId="40" fillId="0" borderId="0" xfId="16" applyFont="1"/>
    <xf numFmtId="3" fontId="40" fillId="0" borderId="18" xfId="16" applyNumberFormat="1" applyFont="1" applyBorder="1"/>
    <xf numFmtId="3" fontId="40" fillId="0" borderId="2" xfId="16" applyNumberFormat="1" applyFont="1" applyBorder="1"/>
    <xf numFmtId="3" fontId="40" fillId="0" borderId="19" xfId="16" applyNumberFormat="1" applyFont="1" applyBorder="1"/>
    <xf numFmtId="3" fontId="39" fillId="0" borderId="17" xfId="16" applyNumberFormat="1" applyFont="1" applyBorder="1"/>
    <xf numFmtId="3" fontId="39" fillId="0" borderId="6" xfId="16" applyNumberFormat="1" applyFont="1" applyBorder="1"/>
    <xf numFmtId="0" fontId="40" fillId="0" borderId="13" xfId="16" applyFont="1" applyBorder="1"/>
    <xf numFmtId="3" fontId="40" fillId="0" borderId="20" xfId="16" applyNumberFormat="1" applyFont="1" applyBorder="1"/>
    <xf numFmtId="3" fontId="40" fillId="0" borderId="21" xfId="16" applyNumberFormat="1" applyFont="1" applyBorder="1"/>
    <xf numFmtId="3" fontId="40" fillId="0" borderId="22" xfId="16" applyNumberFormat="1" applyFont="1" applyBorder="1"/>
    <xf numFmtId="0" fontId="32" fillId="0" borderId="0" xfId="17"/>
    <xf numFmtId="0" fontId="56" fillId="0" borderId="0" xfId="17" applyFont="1" applyAlignment="1">
      <alignment horizontal="right" vertical="center" readingOrder="2"/>
    </xf>
    <xf numFmtId="0" fontId="57" fillId="0" borderId="0" xfId="17" applyFont="1" applyAlignment="1">
      <alignment horizontal="right" vertical="center" readingOrder="2"/>
    </xf>
    <xf numFmtId="0" fontId="58" fillId="0" borderId="0" xfId="17" applyFont="1" applyAlignment="1">
      <alignment horizontal="right" vertical="center" readingOrder="2"/>
    </xf>
    <xf numFmtId="0" fontId="59" fillId="0" borderId="0" xfId="17" applyFont="1" applyAlignment="1">
      <alignment horizontal="right" vertical="center" readingOrder="2"/>
    </xf>
    <xf numFmtId="0" fontId="60" fillId="0" borderId="0" xfId="17" applyFont="1" applyAlignment="1">
      <alignment horizontal="right" vertical="center" readingOrder="2"/>
    </xf>
    <xf numFmtId="0" fontId="57" fillId="0" borderId="0" xfId="17" applyFont="1" applyBorder="1" applyAlignment="1">
      <alignment horizontal="right" vertical="center" readingOrder="2"/>
    </xf>
    <xf numFmtId="0" fontId="61" fillId="0" borderId="0" xfId="17" applyFont="1" applyAlignment="1">
      <alignment horizontal="right" vertical="center" readingOrder="2"/>
    </xf>
    <xf numFmtId="0" fontId="57" fillId="0" borderId="0" xfId="17" quotePrefix="1" applyFont="1" applyAlignment="1">
      <alignment horizontal="right" vertical="center" readingOrder="2"/>
    </xf>
    <xf numFmtId="0" fontId="62" fillId="0" borderId="0" xfId="17" applyFont="1" applyAlignment="1">
      <alignment horizontal="right" vertical="center" readingOrder="2"/>
    </xf>
    <xf numFmtId="0" fontId="63" fillId="0" borderId="0" xfId="17" applyFont="1" applyAlignment="1">
      <alignment horizontal="right" vertical="center" readingOrder="2"/>
    </xf>
    <xf numFmtId="0" fontId="64" fillId="0" borderId="0" xfId="17" applyFont="1"/>
    <xf numFmtId="165" fontId="57" fillId="0" borderId="0" xfId="18" applyNumberFormat="1" applyFont="1" applyAlignment="1">
      <alignment horizontal="right" vertical="center" readingOrder="2"/>
    </xf>
    <xf numFmtId="165" fontId="65" fillId="0" borderId="0" xfId="18" applyNumberFormat="1" applyFont="1" applyAlignment="1">
      <alignment horizontal="right" vertical="center" readingOrder="2"/>
    </xf>
    <xf numFmtId="165" fontId="66" fillId="0" borderId="0" xfId="17" applyNumberFormat="1" applyFont="1" applyAlignment="1">
      <alignment horizontal="right" vertical="center" readingOrder="2"/>
    </xf>
    <xf numFmtId="0" fontId="59" fillId="0" borderId="2" xfId="17" applyFont="1" applyBorder="1" applyAlignment="1">
      <alignment horizontal="center" vertical="center" readingOrder="2"/>
    </xf>
    <xf numFmtId="0" fontId="59" fillId="0" borderId="2" xfId="17" applyFont="1" applyBorder="1" applyAlignment="1">
      <alignment horizontal="center" vertical="center" wrapText="1" readingOrder="2"/>
    </xf>
    <xf numFmtId="0" fontId="59" fillId="0" borderId="2" xfId="17" applyFont="1" applyBorder="1" applyAlignment="1">
      <alignment horizontal="right" vertical="center" readingOrder="2"/>
    </xf>
    <xf numFmtId="165" fontId="57" fillId="0" borderId="2" xfId="18" applyNumberFormat="1" applyFont="1" applyBorder="1" applyAlignment="1">
      <alignment horizontal="right" vertical="center" readingOrder="2"/>
    </xf>
    <xf numFmtId="0" fontId="59" fillId="0" borderId="2" xfId="17" applyFont="1" applyBorder="1" applyAlignment="1">
      <alignment horizontal="right" vertical="center" wrapText="1" readingOrder="2"/>
    </xf>
    <xf numFmtId="3" fontId="59" fillId="0" borderId="0" xfId="17" applyNumberFormat="1" applyFont="1" applyBorder="1" applyAlignment="1">
      <alignment horizontal="right" vertical="center" readingOrder="2"/>
    </xf>
    <xf numFmtId="0" fontId="59" fillId="0" borderId="31" xfId="17" applyFont="1" applyBorder="1" applyAlignment="1">
      <alignment horizontal="right" vertical="center" readingOrder="2"/>
    </xf>
    <xf numFmtId="0" fontId="67" fillId="0" borderId="32" xfId="17" applyFont="1" applyBorder="1"/>
    <xf numFmtId="0" fontId="32" fillId="0" borderId="33" xfId="17" applyBorder="1"/>
    <xf numFmtId="165" fontId="59" fillId="0" borderId="15" xfId="18" applyNumberFormat="1" applyFont="1" applyBorder="1" applyAlignment="1">
      <alignment horizontal="right" vertical="center" readingOrder="2"/>
    </xf>
    <xf numFmtId="165" fontId="59" fillId="0" borderId="16" xfId="18" applyNumberFormat="1" applyFont="1" applyBorder="1" applyAlignment="1">
      <alignment horizontal="right" vertical="center" readingOrder="2"/>
    </xf>
    <xf numFmtId="0" fontId="57" fillId="0" borderId="28" xfId="17" applyFont="1" applyBorder="1" applyAlignment="1">
      <alignment horizontal="right" vertical="center" readingOrder="2"/>
    </xf>
    <xf numFmtId="0" fontId="57" fillId="0" borderId="5" xfId="17" applyFont="1" applyBorder="1" applyAlignment="1">
      <alignment horizontal="right" vertical="center" readingOrder="2"/>
    </xf>
    <xf numFmtId="0" fontId="32" fillId="0" borderId="6" xfId="17" applyBorder="1"/>
    <xf numFmtId="3" fontId="57" fillId="0" borderId="2" xfId="17" applyNumberFormat="1" applyFont="1" applyBorder="1" applyAlignment="1">
      <alignment horizontal="right" vertical="center" readingOrder="2"/>
    </xf>
    <xf numFmtId="3" fontId="57" fillId="0" borderId="24" xfId="17" applyNumberFormat="1" applyFont="1" applyBorder="1" applyAlignment="1">
      <alignment horizontal="right" vertical="center" readingOrder="2"/>
    </xf>
    <xf numFmtId="9" fontId="32" fillId="0" borderId="0" xfId="9" applyFont="1"/>
    <xf numFmtId="0" fontId="57" fillId="0" borderId="4" xfId="17" applyFont="1" applyBorder="1" applyAlignment="1">
      <alignment horizontal="right" vertical="center" readingOrder="2"/>
    </xf>
    <xf numFmtId="0" fontId="57" fillId="0" borderId="34" xfId="17" applyFont="1" applyBorder="1" applyAlignment="1">
      <alignment horizontal="right" vertical="center" readingOrder="2"/>
    </xf>
    <xf numFmtId="0" fontId="57" fillId="0" borderId="9" xfId="17" applyFont="1" applyBorder="1" applyAlignment="1">
      <alignment horizontal="right" vertical="center" readingOrder="2"/>
    </xf>
    <xf numFmtId="0" fontId="32" fillId="0" borderId="8" xfId="17" applyBorder="1"/>
    <xf numFmtId="3" fontId="57" fillId="0" borderId="0" xfId="17" applyNumberFormat="1" applyFont="1" applyAlignment="1">
      <alignment horizontal="right" vertical="center" readingOrder="2"/>
    </xf>
    <xf numFmtId="0" fontId="59" fillId="0" borderId="35" xfId="17" applyFont="1" applyBorder="1" applyAlignment="1">
      <alignment horizontal="right" vertical="center" readingOrder="2"/>
    </xf>
    <xf numFmtId="0" fontId="57" fillId="0" borderId="36" xfId="17" applyFont="1" applyBorder="1" applyAlignment="1">
      <alignment horizontal="right" vertical="center" readingOrder="2"/>
    </xf>
    <xf numFmtId="0" fontId="32" fillId="0" borderId="37" xfId="17" applyBorder="1"/>
    <xf numFmtId="165" fontId="59" fillId="0" borderId="21" xfId="18" applyNumberFormat="1" applyFont="1" applyBorder="1" applyAlignment="1">
      <alignment vertical="center" readingOrder="2"/>
    </xf>
    <xf numFmtId="9" fontId="59" fillId="0" borderId="22" xfId="9" applyFont="1" applyBorder="1" applyAlignment="1">
      <alignment vertical="center" readingOrder="2"/>
    </xf>
    <xf numFmtId="0" fontId="59" fillId="0" borderId="0" xfId="17" applyFont="1" applyBorder="1" applyAlignment="1">
      <alignment horizontal="right" vertical="center" readingOrder="2"/>
    </xf>
    <xf numFmtId="0" fontId="32" fillId="0" borderId="0" xfId="17" applyBorder="1"/>
    <xf numFmtId="165" fontId="59" fillId="0" borderId="0" xfId="18" applyNumberFormat="1" applyFont="1" applyBorder="1" applyAlignment="1">
      <alignment horizontal="right" vertical="center" readingOrder="2"/>
    </xf>
    <xf numFmtId="165" fontId="59" fillId="0" borderId="23" xfId="18" applyNumberFormat="1" applyFont="1" applyBorder="1" applyAlignment="1">
      <alignment horizontal="right" vertical="center" readingOrder="2"/>
    </xf>
    <xf numFmtId="0" fontId="59" fillId="0" borderId="5" xfId="17" applyFont="1" applyBorder="1" applyAlignment="1">
      <alignment horizontal="right" vertical="center" readingOrder="2"/>
    </xf>
    <xf numFmtId="0" fontId="47" fillId="0" borderId="6" xfId="17" applyFont="1" applyBorder="1"/>
    <xf numFmtId="165" fontId="59" fillId="0" borderId="26" xfId="18" applyNumberFormat="1" applyFont="1" applyBorder="1" applyAlignment="1">
      <alignment horizontal="right" vertical="center" readingOrder="2"/>
    </xf>
    <xf numFmtId="9" fontId="59" fillId="0" borderId="22" xfId="9" applyFont="1" applyBorder="1" applyAlignment="1">
      <alignment horizontal="right" vertical="center" readingOrder="2"/>
    </xf>
    <xf numFmtId="0" fontId="39" fillId="0" borderId="0" xfId="16" applyFont="1" applyAlignment="1">
      <alignment horizontal="center" vertical="center"/>
    </xf>
    <xf numFmtId="3" fontId="39" fillId="0" borderId="2" xfId="16" applyNumberFormat="1" applyFont="1" applyBorder="1" applyAlignment="1">
      <alignment vertical="center"/>
    </xf>
    <xf numFmtId="3" fontId="38" fillId="0" borderId="2" xfId="16" applyNumberFormat="1" applyFont="1" applyBorder="1" applyAlignment="1">
      <alignment vertical="center" wrapText="1"/>
    </xf>
    <xf numFmtId="3" fontId="40" fillId="0" borderId="2" xfId="16" applyNumberFormat="1" applyFont="1" applyBorder="1" applyAlignment="1">
      <alignment vertical="center"/>
    </xf>
    <xf numFmtId="0" fontId="39" fillId="0" borderId="0" xfId="16" applyFont="1" applyAlignment="1">
      <alignment vertical="center"/>
    </xf>
    <xf numFmtId="0" fontId="39" fillId="0" borderId="0" xfId="16" applyFont="1" applyBorder="1" applyAlignment="1">
      <alignment vertical="center"/>
    </xf>
    <xf numFmtId="3" fontId="39" fillId="0" borderId="0" xfId="16" applyNumberFormat="1" applyFont="1" applyBorder="1" applyAlignment="1">
      <alignment vertical="center"/>
    </xf>
    <xf numFmtId="0" fontId="32" fillId="0" borderId="0" xfId="17" applyAlignment="1">
      <alignment horizontal="left"/>
    </xf>
    <xf numFmtId="0" fontId="63" fillId="0" borderId="0" xfId="17" applyFont="1" applyAlignment="1">
      <alignment horizontal="center" vertical="center" readingOrder="2"/>
    </xf>
    <xf numFmtId="0" fontId="57" fillId="0" borderId="0" xfId="17" quotePrefix="1" applyFont="1" applyAlignment="1">
      <alignment horizontal="left" vertical="center" readingOrder="2"/>
    </xf>
    <xf numFmtId="16" fontId="57" fillId="0" borderId="0" xfId="17" quotePrefix="1" applyNumberFormat="1" applyFont="1" applyAlignment="1">
      <alignment horizontal="left" vertical="center" readingOrder="2"/>
    </xf>
    <xf numFmtId="0" fontId="57" fillId="0" borderId="0" xfId="17" applyFont="1" applyAlignment="1">
      <alignment horizontal="left" vertical="center" readingOrder="2"/>
    </xf>
    <xf numFmtId="0" fontId="57" fillId="0" borderId="0" xfId="17" applyFont="1" applyAlignment="1">
      <alignment vertical="center" readingOrder="2"/>
    </xf>
    <xf numFmtId="0" fontId="37" fillId="0" borderId="2" xfId="16" applyFont="1" applyBorder="1" applyAlignment="1">
      <alignment horizontal="right" vertical="center" wrapText="1"/>
    </xf>
    <xf numFmtId="0" fontId="38" fillId="0" borderId="0" xfId="16" applyFont="1"/>
    <xf numFmtId="0" fontId="38" fillId="0" borderId="0" xfId="16" applyFont="1" applyAlignment="1"/>
    <xf numFmtId="0" fontId="38" fillId="0" borderId="0" xfId="16" applyFont="1" applyFill="1"/>
    <xf numFmtId="3" fontId="38" fillId="0" borderId="0" xfId="16" applyNumberFormat="1" applyFont="1" applyFill="1"/>
    <xf numFmtId="3" fontId="38" fillId="0" borderId="0" xfId="16" applyNumberFormat="1" applyFont="1"/>
    <xf numFmtId="3" fontId="37" fillId="0" borderId="2" xfId="16" applyNumberFormat="1" applyFont="1" applyFill="1" applyBorder="1" applyAlignment="1">
      <alignment horizontal="right" vertical="center" wrapText="1"/>
    </xf>
    <xf numFmtId="0" fontId="38" fillId="0" borderId="0" xfId="16" applyFont="1" applyAlignment="1">
      <alignment vertical="center" wrapText="1"/>
    </xf>
    <xf numFmtId="0" fontId="38" fillId="0" borderId="2" xfId="16" applyFont="1" applyBorder="1" applyAlignment="1">
      <alignment vertical="center" wrapText="1"/>
    </xf>
    <xf numFmtId="0" fontId="38" fillId="0" borderId="2" xfId="16" applyFont="1" applyFill="1" applyBorder="1" applyAlignment="1">
      <alignment vertical="center" wrapText="1"/>
    </xf>
    <xf numFmtId="3" fontId="38" fillId="0" borderId="2" xfId="16" applyNumberFormat="1" applyFont="1" applyFill="1" applyBorder="1" applyAlignment="1">
      <alignment vertical="center" wrapText="1"/>
    </xf>
    <xf numFmtId="0" fontId="37" fillId="0" borderId="0" xfId="16" applyFont="1" applyAlignment="1">
      <alignment vertical="center" wrapText="1"/>
    </xf>
    <xf numFmtId="0" fontId="37" fillId="0" borderId="2" xfId="16" applyFont="1" applyBorder="1" applyAlignment="1">
      <alignment vertical="center" wrapText="1"/>
    </xf>
    <xf numFmtId="0" fontId="38" fillId="0" borderId="0" xfId="16" applyFont="1" applyFill="1" applyAlignment="1">
      <alignment vertical="center" wrapText="1"/>
    </xf>
    <xf numFmtId="0" fontId="37" fillId="0" borderId="0" xfId="16" applyFont="1" applyFill="1" applyAlignment="1">
      <alignment vertical="center" wrapText="1"/>
    </xf>
    <xf numFmtId="0" fontId="37" fillId="0" borderId="2" xfId="16" applyFont="1" applyFill="1" applyBorder="1" applyAlignment="1">
      <alignment vertical="center" wrapText="1"/>
    </xf>
    <xf numFmtId="3" fontId="37" fillId="0" borderId="2" xfId="16" applyNumberFormat="1" applyFont="1" applyFill="1" applyBorder="1" applyAlignment="1">
      <alignment vertical="center" wrapText="1"/>
    </xf>
    <xf numFmtId="3" fontId="37" fillId="0" borderId="2" xfId="16" applyNumberFormat="1" applyFont="1" applyBorder="1" applyAlignment="1">
      <alignment vertical="center" wrapText="1"/>
    </xf>
    <xf numFmtId="0" fontId="38" fillId="0" borderId="0" xfId="16" applyFont="1" applyFill="1" applyAlignment="1">
      <alignment wrapText="1"/>
    </xf>
    <xf numFmtId="0" fontId="38" fillId="0" borderId="2" xfId="16" applyFont="1" applyFill="1" applyBorder="1"/>
    <xf numFmtId="0" fontId="36" fillId="0" borderId="0" xfId="16" applyFont="1"/>
    <xf numFmtId="0" fontId="37" fillId="0" borderId="0" xfId="16" applyFont="1" applyBorder="1" applyAlignment="1">
      <alignment horizontal="right" vertical="center" wrapText="1"/>
    </xf>
    <xf numFmtId="3" fontId="39" fillId="0" borderId="2" xfId="16" applyNumberFormat="1" applyFont="1" applyFill="1" applyBorder="1" applyAlignment="1">
      <alignment vertical="center"/>
    </xf>
    <xf numFmtId="0" fontId="37" fillId="0" borderId="2" xfId="16" applyFont="1" applyFill="1" applyBorder="1" applyAlignment="1">
      <alignment horizontal="right" vertical="center" wrapText="1"/>
    </xf>
    <xf numFmtId="165" fontId="57" fillId="0" borderId="19" xfId="18" applyNumberFormat="1" applyFont="1" applyBorder="1" applyAlignment="1">
      <alignment horizontal="right" vertical="center" readingOrder="2"/>
    </xf>
    <xf numFmtId="0" fontId="59" fillId="0" borderId="20" xfId="17" applyFont="1" applyBorder="1" applyAlignment="1">
      <alignment horizontal="right" vertical="center" readingOrder="2"/>
    </xf>
    <xf numFmtId="0" fontId="32" fillId="0" borderId="25" xfId="17" applyBorder="1"/>
    <xf numFmtId="9" fontId="59" fillId="0" borderId="2" xfId="9" applyFont="1" applyBorder="1" applyAlignment="1">
      <alignment horizontal="right" vertical="center" readingOrder="2"/>
    </xf>
    <xf numFmtId="0" fontId="39" fillId="0" borderId="0" xfId="16" applyFont="1" applyFill="1"/>
    <xf numFmtId="0" fontId="36" fillId="0" borderId="0" xfId="0" applyFont="1" applyFill="1" applyAlignment="1"/>
    <xf numFmtId="3" fontId="68" fillId="0" borderId="21" xfId="17" applyNumberFormat="1" applyFont="1" applyBorder="1" applyAlignment="1">
      <alignment horizontal="right" vertical="center" readingOrder="2"/>
    </xf>
    <xf numFmtId="3" fontId="68" fillId="0" borderId="22" xfId="17" applyNumberFormat="1" applyFont="1" applyBorder="1" applyAlignment="1">
      <alignment horizontal="right" vertical="center" readingOrder="2"/>
    </xf>
    <xf numFmtId="0" fontId="59" fillId="0" borderId="39" xfId="17" applyFont="1" applyBorder="1" applyAlignment="1">
      <alignment horizontal="right" vertical="center" readingOrder="2"/>
    </xf>
    <xf numFmtId="0" fontId="67" fillId="0" borderId="31" xfId="17" applyFont="1" applyBorder="1"/>
    <xf numFmtId="0" fontId="57" fillId="0" borderId="39" xfId="17" applyFont="1" applyBorder="1" applyAlignment="1">
      <alignment horizontal="right" vertical="center" readingOrder="2"/>
    </xf>
    <xf numFmtId="3" fontId="38" fillId="0" borderId="0" xfId="13" quotePrefix="1" applyNumberFormat="1" applyFont="1" applyAlignment="1">
      <alignment horizontal="center" vertical="center"/>
    </xf>
    <xf numFmtId="0" fontId="44" fillId="0" borderId="0" xfId="16" applyFont="1" applyAlignment="1"/>
    <xf numFmtId="0" fontId="68" fillId="0" borderId="0" xfId="17" applyFont="1" applyFill="1" applyAlignment="1">
      <alignment horizontal="right" vertical="center" readingOrder="2"/>
    </xf>
    <xf numFmtId="165" fontId="57" fillId="0" borderId="2" xfId="18" applyNumberFormat="1" applyFont="1" applyFill="1" applyBorder="1" applyAlignment="1">
      <alignment horizontal="right" vertical="center" readingOrder="2"/>
    </xf>
    <xf numFmtId="0" fontId="68" fillId="0" borderId="0" xfId="17" applyFont="1" applyAlignment="1">
      <alignment horizontal="right" vertical="center" readingOrder="2"/>
    </xf>
    <xf numFmtId="0" fontId="42" fillId="0" borderId="0" xfId="16"/>
    <xf numFmtId="0" fontId="58" fillId="0" borderId="0" xfId="16" applyFont="1" applyAlignment="1">
      <alignment horizontal="right" vertical="center" readingOrder="2"/>
    </xf>
    <xf numFmtId="0" fontId="57" fillId="0" borderId="0" xfId="16" applyFont="1" applyAlignment="1">
      <alignment horizontal="right" vertical="center" readingOrder="2"/>
    </xf>
    <xf numFmtId="0" fontId="57" fillId="0" borderId="0" xfId="16" quotePrefix="1" applyFont="1" applyAlignment="1">
      <alignment horizontal="right" vertical="center" readingOrder="2"/>
    </xf>
    <xf numFmtId="0" fontId="68" fillId="0" borderId="0" xfId="17" quotePrefix="1" applyFont="1" applyAlignment="1">
      <alignment horizontal="right" vertical="center" readingOrder="2"/>
    </xf>
    <xf numFmtId="0" fontId="59" fillId="0" borderId="28" xfId="17" applyFont="1" applyBorder="1" applyAlignment="1">
      <alignment horizontal="right" vertical="center" readingOrder="2"/>
    </xf>
    <xf numFmtId="0" fontId="57" fillId="0" borderId="0" xfId="22" applyFont="1" applyAlignment="1">
      <alignment horizontal="right" vertical="center" readingOrder="2"/>
    </xf>
    <xf numFmtId="0" fontId="30" fillId="0" borderId="0" xfId="22"/>
    <xf numFmtId="0" fontId="56" fillId="0" borderId="0" xfId="22" applyFont="1" applyAlignment="1">
      <alignment horizontal="right" vertical="center" readingOrder="2"/>
    </xf>
    <xf numFmtId="0" fontId="69" fillId="0" borderId="0" xfId="22" applyFont="1"/>
    <xf numFmtId="3" fontId="59" fillId="0" borderId="30" xfId="22" applyNumberFormat="1" applyFont="1" applyBorder="1" applyAlignment="1">
      <alignment horizontal="right" vertical="center" readingOrder="2"/>
    </xf>
    <xf numFmtId="0" fontId="59" fillId="0" borderId="16" xfId="22" applyFont="1" applyBorder="1" applyAlignment="1">
      <alignment horizontal="center" vertical="center" readingOrder="2"/>
    </xf>
    <xf numFmtId="0" fontId="59" fillId="0" borderId="0" xfId="22" applyFont="1" applyBorder="1" applyAlignment="1">
      <alignment horizontal="right" vertical="center" readingOrder="2"/>
    </xf>
    <xf numFmtId="0" fontId="57" fillId="0" borderId="18" xfId="22" applyFont="1" applyBorder="1" applyAlignment="1">
      <alignment horizontal="right" vertical="center" readingOrder="2"/>
    </xf>
    <xf numFmtId="3" fontId="57" fillId="0" borderId="19" xfId="22" applyNumberFormat="1" applyFont="1" applyBorder="1" applyAlignment="1">
      <alignment horizontal="center" vertical="center" readingOrder="2"/>
    </xf>
    <xf numFmtId="0" fontId="57" fillId="0" borderId="0" xfId="22" applyFont="1" applyBorder="1" applyAlignment="1">
      <alignment horizontal="right" vertical="center" readingOrder="2"/>
    </xf>
    <xf numFmtId="0" fontId="59" fillId="0" borderId="20" xfId="22" applyFont="1" applyBorder="1" applyAlignment="1">
      <alignment horizontal="right" vertical="center" readingOrder="2"/>
    </xf>
    <xf numFmtId="0" fontId="57" fillId="0" borderId="0" xfId="22" quotePrefix="1" applyFont="1" applyAlignment="1">
      <alignment horizontal="right" vertical="center" readingOrder="2"/>
    </xf>
    <xf numFmtId="0" fontId="59" fillId="0" borderId="30" xfId="22" applyFont="1" applyBorder="1" applyAlignment="1">
      <alignment horizontal="right" vertical="center" readingOrder="2"/>
    </xf>
    <xf numFmtId="0" fontId="59" fillId="0" borderId="14" xfId="22" applyFont="1" applyBorder="1" applyAlignment="1">
      <alignment horizontal="right" vertical="center" readingOrder="2"/>
    </xf>
    <xf numFmtId="0" fontId="59" fillId="0" borderId="15" xfId="22" applyFont="1" applyBorder="1" applyAlignment="1">
      <alignment horizontal="center" vertical="center" readingOrder="2"/>
    </xf>
    <xf numFmtId="0" fontId="59" fillId="0" borderId="16" xfId="22" applyFont="1" applyBorder="1" applyAlignment="1">
      <alignment horizontal="right" vertical="center" readingOrder="2"/>
    </xf>
    <xf numFmtId="3" fontId="57" fillId="0" borderId="2" xfId="22" applyNumberFormat="1" applyFont="1" applyBorder="1" applyAlignment="1">
      <alignment horizontal="center" vertical="center" readingOrder="2"/>
    </xf>
    <xf numFmtId="9" fontId="57" fillId="0" borderId="19" xfId="9" applyFont="1" applyBorder="1" applyAlignment="1">
      <alignment horizontal="right" vertical="center" readingOrder="2"/>
    </xf>
    <xf numFmtId="3" fontId="59" fillId="0" borderId="21" xfId="22" applyNumberFormat="1" applyFont="1" applyBorder="1" applyAlignment="1">
      <alignment horizontal="center" vertical="center" readingOrder="2"/>
    </xf>
    <xf numFmtId="3" fontId="59" fillId="0" borderId="19" xfId="22" applyNumberFormat="1" applyFont="1" applyBorder="1" applyAlignment="1">
      <alignment horizontal="center" vertical="center" readingOrder="2"/>
    </xf>
    <xf numFmtId="0" fontId="57" fillId="0" borderId="43" xfId="22" applyFont="1" applyBorder="1" applyAlignment="1">
      <alignment horizontal="right" vertical="center" readingOrder="2"/>
    </xf>
    <xf numFmtId="3" fontId="57" fillId="0" borderId="44" xfId="22" applyNumberFormat="1" applyFont="1" applyBorder="1" applyAlignment="1">
      <alignment horizontal="center" vertical="center" readingOrder="2"/>
    </xf>
    <xf numFmtId="0" fontId="57" fillId="0" borderId="20" xfId="22" applyFont="1" applyBorder="1" applyAlignment="1">
      <alignment horizontal="right" vertical="center" readingOrder="2"/>
    </xf>
    <xf numFmtId="3" fontId="57" fillId="0" borderId="22" xfId="22" applyNumberFormat="1" applyFont="1" applyBorder="1" applyAlignment="1">
      <alignment horizontal="center" vertical="center" readingOrder="2"/>
    </xf>
    <xf numFmtId="164" fontId="57" fillId="0" borderId="19" xfId="9" applyNumberFormat="1" applyFont="1" applyBorder="1" applyAlignment="1">
      <alignment horizontal="right" vertical="center" readingOrder="2"/>
    </xf>
    <xf numFmtId="0" fontId="57" fillId="0" borderId="43" xfId="22" applyFont="1" applyBorder="1" applyAlignment="1">
      <alignment horizontal="right" vertical="center" wrapText="1" readingOrder="2"/>
    </xf>
    <xf numFmtId="0" fontId="58" fillId="0" borderId="0" xfId="22" applyFont="1" applyAlignment="1">
      <alignment horizontal="right" vertical="center" readingOrder="2"/>
    </xf>
    <xf numFmtId="3" fontId="59" fillId="0" borderId="0" xfId="22" applyNumberFormat="1" applyFont="1" applyBorder="1" applyAlignment="1">
      <alignment horizontal="center" vertical="center" readingOrder="2"/>
    </xf>
    <xf numFmtId="9" fontId="59" fillId="0" borderId="0" xfId="9" applyFont="1" applyBorder="1" applyAlignment="1">
      <alignment horizontal="right" vertical="center" readingOrder="2"/>
    </xf>
    <xf numFmtId="0" fontId="52" fillId="0" borderId="0" xfId="4" applyFont="1" applyFill="1" applyBorder="1" applyAlignment="1">
      <alignment horizontal="right" vertical="center"/>
    </xf>
    <xf numFmtId="0" fontId="52" fillId="0" borderId="0" xfId="4" applyFont="1" applyFill="1" applyBorder="1" applyAlignment="1">
      <alignment vertical="center"/>
    </xf>
    <xf numFmtId="3" fontId="37" fillId="0" borderId="2" xfId="4" applyNumberFormat="1" applyFont="1" applyFill="1" applyBorder="1" applyAlignment="1">
      <alignment horizontal="right" vertical="center"/>
    </xf>
    <xf numFmtId="3" fontId="57" fillId="0" borderId="0" xfId="22" applyNumberFormat="1" applyFont="1" applyBorder="1" applyAlignment="1">
      <alignment horizontal="center" vertical="center" readingOrder="2"/>
    </xf>
    <xf numFmtId="9" fontId="57" fillId="0" borderId="0" xfId="9" applyFont="1" applyBorder="1" applyAlignment="1">
      <alignment horizontal="right" vertical="center" readingOrder="2"/>
    </xf>
    <xf numFmtId="0" fontId="55" fillId="0" borderId="0" xfId="16" applyFont="1" applyAlignment="1"/>
    <xf numFmtId="0" fontId="44" fillId="0" borderId="0" xfId="4" applyFont="1" applyFill="1" applyBorder="1" applyAlignment="1">
      <alignment vertical="center"/>
    </xf>
    <xf numFmtId="164" fontId="32" fillId="0" borderId="0" xfId="9" applyNumberFormat="1" applyFont="1"/>
    <xf numFmtId="0" fontId="59" fillId="0" borderId="16" xfId="22" applyFont="1" applyBorder="1" applyAlignment="1">
      <alignment vertical="center" readingOrder="2"/>
    </xf>
    <xf numFmtId="164" fontId="57" fillId="0" borderId="19" xfId="9" applyNumberFormat="1" applyFont="1" applyBorder="1" applyAlignment="1">
      <alignment vertical="center" readingOrder="2"/>
    </xf>
    <xf numFmtId="0" fontId="36" fillId="0" borderId="0" xfId="4" applyFont="1" applyFill="1" applyAlignment="1">
      <alignment wrapText="1"/>
    </xf>
    <xf numFmtId="0" fontId="38" fillId="0" borderId="2" xfId="4" applyFont="1" applyFill="1" applyBorder="1" applyAlignment="1">
      <alignment vertical="center"/>
    </xf>
    <xf numFmtId="3" fontId="48" fillId="0" borderId="2" xfId="4" applyNumberFormat="1" applyFont="1" applyFill="1" applyBorder="1" applyAlignment="1">
      <alignment vertical="center" wrapText="1"/>
    </xf>
    <xf numFmtId="0" fontId="38" fillId="0" borderId="2" xfId="4" applyFont="1" applyFill="1" applyBorder="1" applyAlignment="1">
      <alignment horizontal="right" vertical="center" wrapText="1"/>
    </xf>
    <xf numFmtId="3" fontId="50" fillId="0" borderId="2" xfId="4" applyNumberFormat="1" applyFont="1" applyFill="1" applyBorder="1" applyAlignment="1">
      <alignment horizontal="right" vertical="center" wrapText="1"/>
    </xf>
    <xf numFmtId="0" fontId="44" fillId="0" borderId="0" xfId="16" applyFont="1" applyFill="1" applyAlignment="1"/>
    <xf numFmtId="0" fontId="36" fillId="0" borderId="0" xfId="16" applyFont="1" applyFill="1"/>
    <xf numFmtId="0" fontId="36" fillId="0" borderId="0" xfId="16" applyFont="1" applyFill="1" applyAlignment="1">
      <alignment wrapText="1"/>
    </xf>
    <xf numFmtId="0" fontId="38" fillId="0" borderId="0" xfId="16" applyFont="1" applyFill="1" applyAlignment="1"/>
    <xf numFmtId="0" fontId="38" fillId="0" borderId="0" xfId="16" applyFont="1" applyFill="1" applyAlignment="1">
      <alignment vertical="center"/>
    </xf>
    <xf numFmtId="3" fontId="37" fillId="0" borderId="0" xfId="16" applyNumberFormat="1" applyFont="1" applyFill="1" applyBorder="1" applyAlignment="1">
      <alignment horizontal="right" vertical="center" wrapText="1"/>
    </xf>
    <xf numFmtId="0" fontId="50" fillId="0" borderId="2" xfId="16" applyFont="1" applyFill="1" applyBorder="1" applyAlignment="1">
      <alignment horizontal="right" vertical="center" wrapText="1"/>
    </xf>
    <xf numFmtId="0" fontId="38" fillId="0" borderId="2" xfId="16" applyFont="1" applyFill="1" applyBorder="1" applyAlignment="1">
      <alignment vertical="center"/>
    </xf>
    <xf numFmtId="3" fontId="38" fillId="0" borderId="2" xfId="16" applyNumberFormat="1" applyFont="1" applyFill="1" applyBorder="1" applyAlignment="1">
      <alignment horizontal="right" vertical="center" wrapText="1"/>
    </xf>
    <xf numFmtId="0" fontId="37" fillId="0" borderId="2" xfId="16" applyFont="1" applyFill="1" applyBorder="1" applyAlignment="1">
      <alignment vertical="center"/>
    </xf>
    <xf numFmtId="0" fontId="37" fillId="0" borderId="0" xfId="16" applyFont="1" applyFill="1"/>
    <xf numFmtId="0" fontId="50" fillId="0" borderId="2" xfId="16" applyFont="1" applyFill="1" applyBorder="1" applyAlignment="1">
      <alignment vertical="center" wrapText="1"/>
    </xf>
    <xf numFmtId="0" fontId="38" fillId="0" borderId="0" xfId="16" applyFont="1" applyFill="1" applyBorder="1"/>
    <xf numFmtId="3" fontId="38" fillId="0" borderId="0" xfId="16" applyNumberFormat="1" applyFont="1" applyFill="1" applyBorder="1"/>
    <xf numFmtId="3" fontId="37" fillId="0" borderId="0" xfId="16" applyNumberFormat="1" applyFont="1" applyFill="1" applyBorder="1"/>
    <xf numFmtId="0" fontId="37" fillId="0" borderId="0" xfId="16" applyFont="1" applyFill="1" applyBorder="1" applyAlignment="1">
      <alignment horizontal="right" vertical="center" wrapText="1"/>
    </xf>
    <xf numFmtId="0" fontId="38" fillId="0" borderId="2" xfId="16" applyFont="1" applyFill="1" applyBorder="1" applyAlignment="1">
      <alignment wrapText="1"/>
    </xf>
    <xf numFmtId="3" fontId="38" fillId="0" borderId="0" xfId="16" applyNumberFormat="1" applyFont="1" applyAlignment="1">
      <alignment vertical="center" wrapText="1"/>
    </xf>
    <xf numFmtId="3" fontId="36" fillId="0" borderId="0" xfId="16" applyNumberFormat="1" applyFont="1" applyFill="1"/>
    <xf numFmtId="0" fontId="72" fillId="0" borderId="0" xfId="17" quotePrefix="1" applyFont="1" applyFill="1" applyAlignment="1">
      <alignment horizontal="right" vertical="center" readingOrder="2"/>
    </xf>
    <xf numFmtId="0" fontId="37" fillId="0" borderId="0" xfId="0" applyFont="1" applyFill="1" applyBorder="1" applyAlignment="1">
      <alignment vertical="center" wrapText="1"/>
    </xf>
    <xf numFmtId="0" fontId="73" fillId="0" borderId="0" xfId="4" applyFont="1" applyFill="1" applyBorder="1" applyAlignment="1">
      <alignment horizontal="right" vertical="center" wrapText="1"/>
    </xf>
    <xf numFmtId="0" fontId="73" fillId="0" borderId="0" xfId="4" applyFont="1" applyFill="1" applyBorder="1" applyAlignment="1">
      <alignment horizontal="right" vertical="center"/>
    </xf>
    <xf numFmtId="0" fontId="73" fillId="0" borderId="0" xfId="4" applyFont="1" applyFill="1" applyBorder="1"/>
    <xf numFmtId="0" fontId="38" fillId="0" borderId="0" xfId="16" applyFont="1" applyFill="1" applyAlignment="1">
      <alignment horizontal="right" wrapText="1"/>
    </xf>
    <xf numFmtId="0" fontId="38" fillId="0" borderId="2" xfId="16" applyFont="1" applyFill="1" applyBorder="1" applyAlignment="1">
      <alignment horizontal="right" vertical="center" wrapText="1"/>
    </xf>
    <xf numFmtId="0" fontId="44" fillId="0" borderId="0" xfId="16" applyFont="1" applyFill="1" applyAlignment="1">
      <alignment wrapText="1"/>
    </xf>
    <xf numFmtId="165" fontId="57" fillId="0" borderId="0" xfId="17" applyNumberFormat="1" applyFont="1" applyAlignment="1">
      <alignment horizontal="right" vertical="center" readingOrder="2"/>
    </xf>
    <xf numFmtId="0" fontId="57" fillId="0" borderId="0" xfId="30" applyFont="1" applyAlignment="1">
      <alignment horizontal="right" vertical="center" readingOrder="2"/>
    </xf>
    <xf numFmtId="0" fontId="26" fillId="0" borderId="0" xfId="30"/>
    <xf numFmtId="0" fontId="56" fillId="0" borderId="0" xfId="30" applyFont="1" applyAlignment="1">
      <alignment horizontal="right" vertical="center" readingOrder="2"/>
    </xf>
    <xf numFmtId="0" fontId="69" fillId="0" borderId="0" xfId="30" applyFont="1"/>
    <xf numFmtId="3" fontId="59" fillId="0" borderId="30" xfId="30" applyNumberFormat="1" applyFont="1" applyBorder="1" applyAlignment="1">
      <alignment horizontal="right" vertical="center" readingOrder="2"/>
    </xf>
    <xf numFmtId="0" fontId="57" fillId="0" borderId="0" xfId="30" applyFont="1" applyBorder="1" applyAlignment="1">
      <alignment horizontal="right" vertical="center" readingOrder="2"/>
    </xf>
    <xf numFmtId="3" fontId="57" fillId="0" borderId="10" xfId="22" applyNumberFormat="1" applyFont="1" applyBorder="1" applyAlignment="1">
      <alignment horizontal="center" vertical="center" readingOrder="2"/>
    </xf>
    <xf numFmtId="0" fontId="51" fillId="0" borderId="0" xfId="16" applyFont="1" applyFill="1"/>
    <xf numFmtId="0" fontId="51" fillId="0" borderId="2" xfId="4" applyFont="1" applyFill="1" applyBorder="1" applyAlignment="1">
      <alignment vertical="center"/>
    </xf>
    <xf numFmtId="3" fontId="68" fillId="0" borderId="21" xfId="22" applyNumberFormat="1" applyFont="1" applyBorder="1" applyAlignment="1">
      <alignment horizontal="center" vertical="center" readingOrder="2"/>
    </xf>
    <xf numFmtId="9" fontId="68" fillId="0" borderId="22" xfId="9" applyFont="1" applyBorder="1" applyAlignment="1">
      <alignment horizontal="right" vertical="center" readingOrder="2"/>
    </xf>
    <xf numFmtId="3" fontId="51" fillId="0" borderId="2" xfId="16" applyNumberFormat="1" applyFont="1" applyFill="1" applyBorder="1" applyAlignment="1">
      <alignment horizontal="right" vertical="center" wrapText="1"/>
    </xf>
    <xf numFmtId="0" fontId="26" fillId="0" borderId="0" xfId="22" applyFont="1"/>
    <xf numFmtId="0" fontId="75" fillId="0" borderId="0" xfId="22" applyFont="1"/>
    <xf numFmtId="0" fontId="76" fillId="0" borderId="0" xfId="30" applyFont="1" applyAlignment="1">
      <alignment horizontal="right" vertical="center" readingOrder="2"/>
    </xf>
    <xf numFmtId="0" fontId="76" fillId="0" borderId="0" xfId="22" applyFont="1" applyAlignment="1">
      <alignment horizontal="right" vertical="center" readingOrder="2"/>
    </xf>
    <xf numFmtId="0" fontId="25" fillId="0" borderId="0" xfId="22" applyFont="1"/>
    <xf numFmtId="0" fontId="77" fillId="0" borderId="0" xfId="22" applyFont="1"/>
    <xf numFmtId="164" fontId="68" fillId="0" borderId="22" xfId="9" applyNumberFormat="1" applyFont="1" applyBorder="1" applyAlignment="1">
      <alignment horizontal="right" vertical="center" readingOrder="2"/>
    </xf>
    <xf numFmtId="165" fontId="39" fillId="0" borderId="0" xfId="4" applyNumberFormat="1" applyFont="1" applyFill="1" applyBorder="1" applyAlignment="1">
      <alignment horizontal="right" vertical="center"/>
    </xf>
    <xf numFmtId="0" fontId="74" fillId="0" borderId="0" xfId="17" applyFont="1"/>
    <xf numFmtId="0" fontId="68" fillId="0" borderId="0" xfId="30" applyFont="1" applyAlignment="1">
      <alignment horizontal="right" vertical="center" readingOrder="2"/>
    </xf>
    <xf numFmtId="0" fontId="47" fillId="0" borderId="0" xfId="30" applyFont="1"/>
    <xf numFmtId="0" fontId="78" fillId="0" borderId="0" xfId="30" applyFont="1"/>
    <xf numFmtId="0" fontId="59" fillId="0" borderId="0" xfId="30" applyFont="1" applyAlignment="1">
      <alignment horizontal="right" vertical="center" readingOrder="2"/>
    </xf>
    <xf numFmtId="164" fontId="68" fillId="0" borderId="22" xfId="9" applyNumberFormat="1" applyFont="1" applyBorder="1" applyAlignment="1">
      <alignment vertical="center" readingOrder="2"/>
    </xf>
    <xf numFmtId="0" fontId="36" fillId="0" borderId="0" xfId="0" applyFont="1" applyFill="1" applyAlignment="1">
      <alignment wrapText="1"/>
    </xf>
    <xf numFmtId="0" fontId="59" fillId="0" borderId="15" xfId="17" applyFont="1" applyBorder="1" applyAlignment="1">
      <alignment horizontal="right" vertical="center" readingOrder="2"/>
    </xf>
    <xf numFmtId="3" fontId="39" fillId="0" borderId="28" xfId="16" applyNumberFormat="1" applyFont="1" applyBorder="1"/>
    <xf numFmtId="0" fontId="57" fillId="0" borderId="18" xfId="22" applyFont="1" applyBorder="1" applyAlignment="1">
      <alignment horizontal="right" vertical="center" wrapText="1" readingOrder="2"/>
    </xf>
    <xf numFmtId="0" fontId="79" fillId="0" borderId="0" xfId="17" applyFont="1" applyAlignment="1">
      <alignment horizontal="right" vertical="center" readingOrder="2"/>
    </xf>
    <xf numFmtId="0" fontId="80" fillId="0" borderId="0" xfId="17" applyFont="1"/>
    <xf numFmtId="0" fontId="81" fillId="0" borderId="0" xfId="17" applyFont="1"/>
    <xf numFmtId="165" fontId="57" fillId="0" borderId="19" xfId="18" applyNumberFormat="1" applyFont="1" applyBorder="1" applyAlignment="1">
      <alignment vertical="center" readingOrder="2"/>
    </xf>
    <xf numFmtId="0" fontId="36" fillId="0" borderId="2" xfId="16" applyFont="1" applyFill="1" applyBorder="1"/>
    <xf numFmtId="3" fontId="50" fillId="0" borderId="2" xfId="4" applyNumberFormat="1" applyFont="1" applyFill="1" applyBorder="1" applyAlignment="1">
      <alignment vertical="center" wrapText="1"/>
    </xf>
    <xf numFmtId="0" fontId="39" fillId="0" borderId="2" xfId="4" applyFont="1" applyFill="1" applyBorder="1" applyAlignment="1">
      <alignment vertical="center"/>
    </xf>
    <xf numFmtId="165" fontId="38" fillId="0" borderId="0" xfId="10" applyNumberFormat="1" applyFont="1" applyFill="1" applyAlignment="1">
      <alignment wrapText="1"/>
    </xf>
    <xf numFmtId="3" fontId="50" fillId="0" borderId="2" xfId="16" applyNumberFormat="1" applyFont="1" applyFill="1" applyBorder="1" applyAlignment="1">
      <alignment vertical="center" wrapText="1"/>
    </xf>
    <xf numFmtId="0" fontId="38" fillId="0" borderId="2" xfId="4" applyFont="1" applyBorder="1" applyAlignment="1">
      <alignment vertical="center" wrapText="1"/>
    </xf>
    <xf numFmtId="3" fontId="38" fillId="0" borderId="2" xfId="4" applyNumberFormat="1" applyFont="1" applyBorder="1" applyAlignment="1">
      <alignment vertical="center" wrapText="1"/>
    </xf>
    <xf numFmtId="165" fontId="38" fillId="0" borderId="2" xfId="10" applyNumberFormat="1" applyFont="1" applyBorder="1" applyAlignment="1">
      <alignment vertical="center" wrapText="1"/>
    </xf>
    <xf numFmtId="0" fontId="38" fillId="0" borderId="0" xfId="4" applyFont="1" applyAlignment="1">
      <alignment vertical="center" wrapText="1"/>
    </xf>
    <xf numFmtId="0" fontId="37" fillId="0" borderId="2" xfId="4" applyFont="1" applyBorder="1" applyAlignment="1">
      <alignment horizontal="right" vertical="center" wrapText="1"/>
    </xf>
    <xf numFmtId="0" fontId="37" fillId="0" borderId="0" xfId="4" applyFont="1" applyAlignment="1">
      <alignment horizontal="right" vertical="center" wrapText="1"/>
    </xf>
    <xf numFmtId="0" fontId="50" fillId="0" borderId="2" xfId="4" applyFont="1" applyBorder="1" applyAlignment="1">
      <alignment vertical="center" wrapText="1"/>
    </xf>
    <xf numFmtId="0" fontId="38" fillId="0" borderId="0" xfId="4" applyFont="1"/>
    <xf numFmtId="0" fontId="38" fillId="0" borderId="0" xfId="4" applyFont="1" applyAlignment="1">
      <alignment wrapText="1"/>
    </xf>
    <xf numFmtId="3" fontId="38" fillId="0" borderId="0" xfId="4" applyNumberFormat="1" applyFont="1"/>
    <xf numFmtId="0" fontId="51" fillId="0" borderId="2" xfId="4" applyFont="1" applyBorder="1" applyAlignment="1">
      <alignment vertical="center" wrapText="1"/>
    </xf>
    <xf numFmtId="0" fontId="38" fillId="0" borderId="2" xfId="4" quotePrefix="1" applyFont="1" applyFill="1" applyBorder="1" applyAlignment="1">
      <alignment vertical="center" wrapText="1"/>
    </xf>
    <xf numFmtId="0" fontId="50" fillId="0" borderId="2" xfId="4" quotePrefix="1" applyFont="1" applyFill="1" applyBorder="1" applyAlignment="1">
      <alignment vertical="center" wrapText="1"/>
    </xf>
    <xf numFmtId="3" fontId="39" fillId="0" borderId="0" xfId="16" applyNumberFormat="1" applyFont="1" applyAlignment="1">
      <alignment horizontal="center" vertical="center"/>
    </xf>
    <xf numFmtId="0" fontId="53" fillId="0" borderId="0" xfId="4" applyFont="1" applyFill="1" applyBorder="1" applyAlignment="1">
      <alignment horizontal="right" vertical="center"/>
    </xf>
    <xf numFmtId="0" fontId="68" fillId="0" borderId="0" xfId="16" applyFont="1" applyAlignment="1">
      <alignment horizontal="right" vertical="center" readingOrder="2"/>
    </xf>
    <xf numFmtId="0" fontId="83" fillId="0" borderId="0" xfId="4" quotePrefix="1" applyFont="1" applyFill="1" applyAlignment="1"/>
    <xf numFmtId="0" fontId="83" fillId="0" borderId="0" xfId="4" quotePrefix="1" applyFont="1" applyFill="1" applyAlignment="1">
      <alignment horizontal="center" vertical="center"/>
    </xf>
    <xf numFmtId="0" fontId="83" fillId="0" borderId="0" xfId="4" quotePrefix="1" applyFont="1" applyFill="1" applyAlignment="1">
      <alignment horizontal="center"/>
    </xf>
    <xf numFmtId="3" fontId="50" fillId="0" borderId="2" xfId="16" applyNumberFormat="1" applyFont="1" applyFill="1" applyBorder="1" applyAlignment="1">
      <alignment horizontal="right" vertical="center" wrapText="1"/>
    </xf>
    <xf numFmtId="0" fontId="70" fillId="0" borderId="0" xfId="30" applyFont="1" applyAlignment="1">
      <alignment horizontal="right" vertical="center" readingOrder="2"/>
    </xf>
    <xf numFmtId="0" fontId="57" fillId="0" borderId="0" xfId="30" applyFont="1" applyAlignment="1">
      <alignment vertical="center" readingOrder="2"/>
    </xf>
    <xf numFmtId="0" fontId="68" fillId="0" borderId="0" xfId="22" applyFont="1" applyAlignment="1">
      <alignment horizontal="right" vertical="center" readingOrder="2"/>
    </xf>
    <xf numFmtId="3" fontId="70" fillId="0" borderId="3" xfId="22" applyNumberFormat="1" applyFont="1" applyBorder="1" applyAlignment="1">
      <alignment horizontal="center" vertical="center" readingOrder="2"/>
    </xf>
    <xf numFmtId="0" fontId="50" fillId="0" borderId="2" xfId="16" applyFont="1" applyBorder="1" applyAlignment="1">
      <alignment horizontal="right" vertical="center" wrapText="1"/>
    </xf>
    <xf numFmtId="0" fontId="50" fillId="0" borderId="2" xfId="16" applyFont="1" applyBorder="1" applyAlignment="1">
      <alignment vertical="center" wrapText="1"/>
    </xf>
    <xf numFmtId="3" fontId="50" fillId="0" borderId="2" xfId="4" applyNumberFormat="1" applyFont="1" applyBorder="1" applyAlignment="1">
      <alignment horizontal="right" vertical="center" wrapText="1"/>
    </xf>
    <xf numFmtId="9" fontId="68" fillId="0" borderId="0" xfId="9" applyFont="1" applyBorder="1" applyAlignment="1">
      <alignment horizontal="right" vertical="center" readingOrder="2"/>
    </xf>
    <xf numFmtId="3" fontId="70" fillId="0" borderId="19" xfId="22" applyNumberFormat="1" applyFont="1" applyBorder="1" applyAlignment="1">
      <alignment horizontal="center" vertical="center" readingOrder="2"/>
    </xf>
    <xf numFmtId="3" fontId="51" fillId="0" borderId="2" xfId="4" applyNumberFormat="1" applyFont="1" applyFill="1" applyBorder="1" applyAlignment="1">
      <alignment vertical="center"/>
    </xf>
    <xf numFmtId="0" fontId="51" fillId="0" borderId="0" xfId="4" applyFont="1" applyFill="1" applyAlignment="1">
      <alignment vertical="center"/>
    </xf>
    <xf numFmtId="3" fontId="37" fillId="0" borderId="2" xfId="4" applyNumberFormat="1" applyFont="1" applyFill="1" applyBorder="1" applyAlignment="1">
      <alignment horizontal="center" vertical="center" wrapText="1"/>
    </xf>
    <xf numFmtId="0" fontId="37" fillId="0" borderId="2" xfId="4" applyFont="1" applyFill="1" applyBorder="1" applyAlignment="1">
      <alignment horizontal="center" vertical="center" wrapText="1"/>
    </xf>
    <xf numFmtId="0" fontId="38" fillId="0" borderId="3" xfId="4" applyFont="1" applyFill="1" applyBorder="1" applyAlignment="1">
      <alignment vertical="center" wrapText="1"/>
    </xf>
    <xf numFmtId="165" fontId="38" fillId="0" borderId="2" xfId="10" applyNumberFormat="1" applyFont="1" applyFill="1" applyBorder="1" applyAlignment="1">
      <alignment wrapText="1"/>
    </xf>
    <xf numFmtId="3" fontId="38" fillId="4" borderId="2" xfId="16" applyNumberFormat="1" applyFont="1" applyFill="1" applyBorder="1" applyAlignment="1">
      <alignment vertical="center" wrapText="1"/>
    </xf>
    <xf numFmtId="0" fontId="84" fillId="0" borderId="0" xfId="4" applyFont="1" applyFill="1"/>
    <xf numFmtId="0" fontId="51" fillId="0" borderId="2" xfId="4" applyFont="1" applyBorder="1" applyAlignment="1">
      <alignment vertical="center"/>
    </xf>
    <xf numFmtId="3" fontId="51" fillId="0" borderId="2" xfId="4" applyNumberFormat="1" applyFont="1" applyBorder="1" applyAlignment="1">
      <alignment vertical="center"/>
    </xf>
    <xf numFmtId="0" fontId="51" fillId="0" borderId="0" xfId="4" applyFont="1" applyAlignment="1">
      <alignment vertical="center"/>
    </xf>
    <xf numFmtId="165" fontId="38" fillId="0" borderId="2" xfId="16" applyNumberFormat="1" applyFont="1" applyFill="1" applyBorder="1" applyAlignment="1">
      <alignment horizontal="right" vertical="center" wrapText="1"/>
    </xf>
    <xf numFmtId="0" fontId="36" fillId="0" borderId="0" xfId="4" quotePrefix="1" applyFont="1" applyFill="1" applyAlignment="1">
      <alignment horizontal="center" vertical="center"/>
    </xf>
    <xf numFmtId="0" fontId="50" fillId="0" borderId="0" xfId="4" applyFont="1" applyFill="1" applyAlignment="1">
      <alignment vertical="center" wrapText="1"/>
    </xf>
    <xf numFmtId="0" fontId="53" fillId="0" borderId="0" xfId="4" applyFont="1" applyFill="1" applyBorder="1" applyAlignment="1">
      <alignment vertical="center"/>
    </xf>
    <xf numFmtId="3" fontId="53" fillId="0" borderId="2" xfId="4" applyNumberFormat="1" applyFont="1" applyFill="1" applyBorder="1" applyAlignment="1">
      <alignment horizontal="right" vertical="center"/>
    </xf>
    <xf numFmtId="0" fontId="70" fillId="0" borderId="0" xfId="17" applyFont="1" applyAlignment="1">
      <alignment horizontal="right" vertical="center" readingOrder="2"/>
    </xf>
    <xf numFmtId="3" fontId="37" fillId="0" borderId="2" xfId="16" applyNumberFormat="1" applyFont="1" applyFill="1" applyBorder="1" applyAlignment="1">
      <alignment horizontal="right" vertical="center"/>
    </xf>
    <xf numFmtId="0" fontId="53" fillId="0" borderId="0" xfId="4" applyFont="1" applyFill="1" applyBorder="1" applyAlignment="1">
      <alignment horizontal="right" vertical="center" wrapText="1"/>
    </xf>
    <xf numFmtId="0" fontId="53" fillId="0" borderId="2" xfId="4" applyFont="1" applyFill="1" applyBorder="1" applyAlignment="1">
      <alignment horizontal="right" vertical="center"/>
    </xf>
    <xf numFmtId="0" fontId="53" fillId="0" borderId="5" xfId="4" applyFont="1" applyFill="1" applyBorder="1" applyAlignment="1">
      <alignment vertical="center"/>
    </xf>
    <xf numFmtId="0" fontId="53" fillId="0" borderId="6" xfId="4" applyFont="1" applyFill="1" applyBorder="1" applyAlignment="1">
      <alignment horizontal="right" vertical="center"/>
    </xf>
    <xf numFmtId="0" fontId="53" fillId="0" borderId="6" xfId="4" applyFont="1" applyFill="1" applyBorder="1" applyAlignment="1">
      <alignment vertical="center"/>
    </xf>
    <xf numFmtId="0" fontId="53" fillId="0" borderId="0" xfId="4" applyFont="1" applyFill="1" applyBorder="1"/>
    <xf numFmtId="0" fontId="52" fillId="0" borderId="0" xfId="4" applyFont="1" applyFill="1" applyBorder="1"/>
    <xf numFmtId="0" fontId="39" fillId="0" borderId="18" xfId="16" applyFont="1" applyBorder="1" applyAlignment="1">
      <alignment vertical="center"/>
    </xf>
    <xf numFmtId="3" fontId="40" fillId="0" borderId="19" xfId="16" applyNumberFormat="1" applyFont="1" applyBorder="1" applyAlignment="1">
      <alignment vertical="center"/>
    </xf>
    <xf numFmtId="0" fontId="42" fillId="0" borderId="0" xfId="16" applyFont="1"/>
    <xf numFmtId="0" fontId="40" fillId="0" borderId="14" xfId="16" applyFont="1" applyBorder="1" applyAlignment="1">
      <alignment horizontal="center" vertical="center"/>
    </xf>
    <xf numFmtId="3" fontId="40" fillId="0" borderId="15" xfId="16" applyNumberFormat="1" applyFont="1" applyBorder="1" applyAlignment="1">
      <alignment horizontal="center" vertical="center" wrapText="1"/>
    </xf>
    <xf numFmtId="0" fontId="40" fillId="0" borderId="16" xfId="16" applyFont="1" applyBorder="1" applyAlignment="1">
      <alignment horizontal="center" vertical="center"/>
    </xf>
    <xf numFmtId="0" fontId="40" fillId="0" borderId="20" xfId="16" applyFont="1" applyBorder="1" applyAlignment="1">
      <alignment vertical="center"/>
    </xf>
    <xf numFmtId="3" fontId="40" fillId="0" borderId="21" xfId="16" applyNumberFormat="1" applyFont="1" applyBorder="1" applyAlignment="1">
      <alignment vertical="center"/>
    </xf>
    <xf numFmtId="3" fontId="40" fillId="0" borderId="22" xfId="16" applyNumberFormat="1" applyFont="1" applyBorder="1" applyAlignment="1">
      <alignment vertical="center"/>
    </xf>
    <xf numFmtId="3" fontId="39" fillId="0" borderId="3" xfId="4" applyNumberFormat="1" applyFont="1" applyFill="1" applyBorder="1" applyAlignment="1">
      <alignment vertical="center" wrapText="1"/>
    </xf>
    <xf numFmtId="0" fontId="40" fillId="0" borderId="6" xfId="4" applyFont="1" applyFill="1" applyBorder="1"/>
    <xf numFmtId="0" fontId="37" fillId="0" borderId="6" xfId="4" applyFont="1" applyFill="1" applyBorder="1" applyAlignment="1">
      <alignment horizontal="right" vertical="center" wrapText="1"/>
    </xf>
    <xf numFmtId="3" fontId="39" fillId="0" borderId="6" xfId="4" applyNumberFormat="1" applyFont="1" applyFill="1" applyBorder="1" applyAlignment="1">
      <alignment vertical="center"/>
    </xf>
    <xf numFmtId="3" fontId="39" fillId="0" borderId="3" xfId="4" applyNumberFormat="1" applyFont="1" applyFill="1" applyBorder="1" applyAlignment="1">
      <alignment vertical="center"/>
    </xf>
    <xf numFmtId="0" fontId="10" fillId="0" borderId="0" xfId="17" applyFont="1"/>
    <xf numFmtId="165" fontId="38" fillId="0" borderId="0" xfId="10" applyNumberFormat="1" applyFont="1" applyFill="1"/>
    <xf numFmtId="0" fontId="42" fillId="0" borderId="0" xfId="16" applyFont="1" applyFill="1"/>
    <xf numFmtId="0" fontId="42" fillId="0" borderId="0" xfId="16" applyAlignment="1">
      <alignment wrapText="1"/>
    </xf>
    <xf numFmtId="0" fontId="42" fillId="0" borderId="0" xfId="16" applyAlignment="1">
      <alignment vertical="center" wrapText="1"/>
    </xf>
    <xf numFmtId="0" fontId="42" fillId="0" borderId="0" xfId="16" applyAlignment="1">
      <alignment vertical="center"/>
    </xf>
    <xf numFmtId="0" fontId="87" fillId="0" borderId="0" xfId="4" applyFont="1" applyFill="1"/>
    <xf numFmtId="3" fontId="38" fillId="0" borderId="0" xfId="4" applyNumberFormat="1" applyFont="1" applyFill="1" applyAlignment="1">
      <alignment horizontal="right" wrapText="1"/>
    </xf>
    <xf numFmtId="0" fontId="42" fillId="0" borderId="0" xfId="16" applyAlignment="1">
      <alignment horizontal="center" vertical="center"/>
    </xf>
    <xf numFmtId="0" fontId="42" fillId="0" borderId="2" xfId="16" applyBorder="1" applyAlignment="1">
      <alignment vertical="center" wrapText="1"/>
    </xf>
    <xf numFmtId="0" fontId="42" fillId="0" borderId="0" xfId="16" applyAlignment="1">
      <alignment horizontal="center" vertical="top"/>
    </xf>
    <xf numFmtId="0" fontId="42" fillId="0" borderId="2" xfId="16" applyBorder="1" applyAlignment="1">
      <alignment wrapText="1"/>
    </xf>
    <xf numFmtId="0" fontId="38" fillId="4" borderId="2" xfId="4" applyFont="1" applyFill="1" applyBorder="1" applyAlignment="1">
      <alignment vertical="center" wrapText="1"/>
    </xf>
    <xf numFmtId="0" fontId="42" fillId="5" borderId="0" xfId="16" applyFill="1"/>
    <xf numFmtId="0" fontId="42" fillId="0" borderId="0" xfId="16" applyFill="1"/>
    <xf numFmtId="0" fontId="38" fillId="5" borderId="2" xfId="4" applyFont="1" applyFill="1" applyBorder="1" applyAlignment="1">
      <alignment vertical="center" wrapText="1"/>
    </xf>
    <xf numFmtId="0" fontId="42" fillId="0" borderId="2" xfId="16" applyBorder="1"/>
    <xf numFmtId="0" fontId="42" fillId="0" borderId="2" xfId="16" applyBorder="1" applyAlignment="1">
      <alignment vertical="center"/>
    </xf>
    <xf numFmtId="3" fontId="83" fillId="0" borderId="2" xfId="16" applyNumberFormat="1" applyFont="1" applyFill="1" applyBorder="1" applyAlignment="1">
      <alignment horizontal="right" vertical="center" wrapText="1"/>
    </xf>
    <xf numFmtId="3" fontId="37" fillId="0" borderId="2" xfId="56" applyNumberFormat="1" applyFont="1" applyBorder="1" applyAlignment="1">
      <alignment horizontal="right" vertical="center"/>
    </xf>
    <xf numFmtId="3" fontId="37" fillId="0" borderId="2" xfId="57" applyNumberFormat="1" applyFont="1" applyBorder="1" applyAlignment="1">
      <alignment horizontal="right" vertical="center" wrapText="1"/>
    </xf>
    <xf numFmtId="3" fontId="38" fillId="3" borderId="2" xfId="4" applyNumberFormat="1" applyFont="1" applyFill="1" applyBorder="1" applyAlignment="1">
      <alignment vertical="center" wrapText="1"/>
    </xf>
    <xf numFmtId="0" fontId="40" fillId="0" borderId="2" xfId="4" applyFont="1" applyFill="1" applyBorder="1"/>
    <xf numFmtId="3" fontId="52" fillId="0" borderId="2" xfId="4" applyNumberFormat="1" applyFont="1" applyFill="1" applyBorder="1" applyAlignment="1">
      <alignment vertical="center"/>
    </xf>
    <xf numFmtId="0" fontId="89" fillId="0" borderId="0" xfId="17" applyFont="1" applyAlignment="1">
      <alignment horizontal="right" vertical="center" readingOrder="2"/>
    </xf>
    <xf numFmtId="0" fontId="39" fillId="0" borderId="2" xfId="16" applyFont="1" applyFill="1" applyBorder="1"/>
    <xf numFmtId="0" fontId="39" fillId="0" borderId="0" xfId="16" applyFont="1" applyFill="1" applyAlignment="1">
      <alignment vertical="center"/>
    </xf>
    <xf numFmtId="0" fontId="40" fillId="0" borderId="2" xfId="16" applyFont="1" applyFill="1" applyBorder="1" applyAlignment="1">
      <alignment horizontal="right" vertical="center"/>
    </xf>
    <xf numFmtId="0" fontId="39" fillId="0" borderId="2" xfId="16" applyFont="1" applyFill="1" applyBorder="1" applyAlignment="1">
      <alignment vertical="center" wrapText="1"/>
    </xf>
    <xf numFmtId="0" fontId="39" fillId="0" borderId="2" xfId="16" applyFont="1" applyFill="1" applyBorder="1" applyAlignment="1">
      <alignment horizontal="right" vertical="center" wrapText="1"/>
    </xf>
    <xf numFmtId="0" fontId="40" fillId="0" borderId="2" xfId="16" applyFont="1" applyFill="1" applyBorder="1" applyAlignment="1">
      <alignment horizontal="center" vertical="center" wrapText="1"/>
    </xf>
    <xf numFmtId="0" fontId="39" fillId="0" borderId="0" xfId="16" applyFont="1" applyFill="1" applyAlignment="1">
      <alignment horizontal="center" vertical="center" wrapText="1"/>
    </xf>
    <xf numFmtId="0" fontId="39" fillId="0" borderId="0" xfId="16" applyFont="1" applyFill="1" applyBorder="1" applyAlignment="1">
      <alignment vertical="center"/>
    </xf>
    <xf numFmtId="0" fontId="40" fillId="0" borderId="0" xfId="16" applyFont="1" applyFill="1" applyBorder="1"/>
    <xf numFmtId="165" fontId="38" fillId="0" borderId="0" xfId="16" applyNumberFormat="1" applyFont="1" applyFill="1"/>
    <xf numFmtId="0" fontId="38" fillId="0" borderId="0" xfId="16" applyFont="1" applyFill="1" applyBorder="1" applyAlignment="1"/>
    <xf numFmtId="0" fontId="42" fillId="0" borderId="0" xfId="16" applyFont="1" applyFill="1" applyBorder="1"/>
    <xf numFmtId="0" fontId="42" fillId="0" borderId="0" xfId="16" applyBorder="1"/>
    <xf numFmtId="0" fontId="42" fillId="0" borderId="0" xfId="16" applyBorder="1" applyAlignment="1">
      <alignment vertical="center"/>
    </xf>
    <xf numFmtId="0" fontId="39" fillId="0" borderId="2" xfId="16" applyFont="1" applyFill="1" applyBorder="1" applyAlignment="1">
      <alignment horizontal="center" vertical="center" wrapText="1"/>
    </xf>
    <xf numFmtId="0" fontId="40" fillId="0" borderId="2" xfId="16" applyFont="1" applyFill="1" applyBorder="1"/>
    <xf numFmtId="0" fontId="43" fillId="0" borderId="2" xfId="16" applyFont="1" applyFill="1" applyBorder="1" applyAlignment="1">
      <alignment horizontal="center"/>
    </xf>
    <xf numFmtId="0" fontId="36" fillId="0" borderId="2" xfId="16" applyFont="1" applyFill="1" applyBorder="1" applyAlignment="1">
      <alignment vertical="center"/>
    </xf>
    <xf numFmtId="0" fontId="51" fillId="0" borderId="2" xfId="16" applyFont="1" applyFill="1" applyBorder="1" applyAlignment="1">
      <alignment vertical="center"/>
    </xf>
    <xf numFmtId="3" fontId="51" fillId="0" borderId="2" xfId="16" applyNumberFormat="1" applyFont="1" applyFill="1" applyBorder="1" applyAlignment="1">
      <alignment vertical="center"/>
    </xf>
    <xf numFmtId="0" fontId="51" fillId="0" borderId="0" xfId="16" applyFont="1" applyFill="1" applyBorder="1" applyAlignment="1">
      <alignment vertical="center"/>
    </xf>
    <xf numFmtId="3" fontId="37" fillId="0" borderId="2" xfId="4" applyNumberFormat="1" applyFont="1" applyFill="1" applyBorder="1" applyAlignment="1">
      <alignment vertical="center"/>
    </xf>
    <xf numFmtId="0" fontId="37" fillId="0" borderId="2" xfId="0" applyFont="1" applyFill="1" applyBorder="1" applyAlignment="1">
      <alignment vertical="center" wrapText="1"/>
    </xf>
    <xf numFmtId="3" fontId="42" fillId="0" borderId="0" xfId="16" applyNumberFormat="1"/>
    <xf numFmtId="0" fontId="38" fillId="0" borderId="10" xfId="16" applyFont="1" applyFill="1" applyBorder="1" applyAlignment="1">
      <alignment vertical="center" wrapText="1"/>
    </xf>
    <xf numFmtId="0" fontId="38" fillId="0" borderId="6" xfId="4" applyFont="1" applyFill="1" applyBorder="1" applyAlignment="1">
      <alignment vertical="center" wrapText="1"/>
    </xf>
    <xf numFmtId="0" fontId="51" fillId="0" borderId="6" xfId="4" applyFont="1" applyFill="1" applyBorder="1" applyAlignment="1">
      <alignment vertical="center"/>
    </xf>
    <xf numFmtId="3" fontId="43" fillId="0" borderId="0" xfId="4" applyNumberFormat="1" applyFont="1" applyFill="1" applyBorder="1" applyAlignment="1">
      <alignment vertical="center"/>
    </xf>
    <xf numFmtId="165" fontId="40" fillId="0" borderId="30" xfId="10" applyNumberFormat="1" applyFont="1" applyBorder="1" applyAlignment="1">
      <alignment horizontal="right" vertical="center" readingOrder="2"/>
    </xf>
    <xf numFmtId="0" fontId="39" fillId="0" borderId="0" xfId="17" applyFont="1" applyAlignment="1">
      <alignment horizontal="right" vertical="center" readingOrder="2"/>
    </xf>
    <xf numFmtId="3" fontId="40" fillId="0" borderId="30" xfId="17" applyNumberFormat="1" applyFont="1" applyBorder="1" applyAlignment="1">
      <alignment horizontal="right" vertical="center" readingOrder="2"/>
    </xf>
    <xf numFmtId="0" fontId="52" fillId="0" borderId="0" xfId="17" applyFont="1" applyFill="1" applyAlignment="1">
      <alignment horizontal="right" vertical="center" readingOrder="2"/>
    </xf>
    <xf numFmtId="3" fontId="38" fillId="0" borderId="2" xfId="4" applyNumberFormat="1" applyFont="1" applyFill="1" applyBorder="1" applyAlignment="1">
      <alignment vertical="center"/>
    </xf>
    <xf numFmtId="3" fontId="38" fillId="0" borderId="2" xfId="16" applyNumberFormat="1" applyFont="1" applyFill="1" applyBorder="1"/>
    <xf numFmtId="3" fontId="38" fillId="0" borderId="2" xfId="16" applyNumberFormat="1" applyFont="1" applyFill="1" applyBorder="1" applyAlignment="1">
      <alignment vertical="center"/>
    </xf>
    <xf numFmtId="0" fontId="59" fillId="0" borderId="2" xfId="22" applyFont="1" applyBorder="1" applyAlignment="1">
      <alignment horizontal="right" vertical="center" readingOrder="2"/>
    </xf>
    <xf numFmtId="0" fontId="59" fillId="0" borderId="2" xfId="22" applyFont="1" applyBorder="1" applyAlignment="1">
      <alignment horizontal="center" vertical="center" readingOrder="2"/>
    </xf>
    <xf numFmtId="0" fontId="57" fillId="0" borderId="2" xfId="22" applyFont="1" applyBorder="1" applyAlignment="1">
      <alignment horizontal="right" vertical="center" readingOrder="2"/>
    </xf>
    <xf numFmtId="0" fontId="51" fillId="0" borderId="0" xfId="4" applyFont="1" applyFill="1" applyAlignment="1">
      <alignment wrapText="1"/>
    </xf>
    <xf numFmtId="0" fontId="86" fillId="0" borderId="0" xfId="65" applyFont="1" applyFill="1"/>
    <xf numFmtId="3" fontId="91" fillId="0" borderId="2" xfId="4" applyNumberFormat="1" applyFont="1" applyFill="1" applyBorder="1" applyAlignment="1">
      <alignment vertical="center" wrapText="1"/>
    </xf>
    <xf numFmtId="3" fontId="92" fillId="0" borderId="2" xfId="4" applyNumberFormat="1" applyFont="1" applyFill="1" applyBorder="1" applyAlignment="1">
      <alignment vertical="center" wrapText="1"/>
    </xf>
    <xf numFmtId="0" fontId="51" fillId="0" borderId="0" xfId="4" applyFont="1" applyFill="1"/>
    <xf numFmtId="3" fontId="37" fillId="0" borderId="2" xfId="68" applyNumberFormat="1" applyFont="1" applyFill="1" applyBorder="1" applyAlignment="1">
      <alignment horizontal="right" vertical="center" wrapText="1"/>
    </xf>
    <xf numFmtId="3" fontId="92" fillId="0" borderId="2" xfId="16" applyNumberFormat="1" applyFont="1" applyFill="1" applyBorder="1" applyAlignment="1">
      <alignment vertical="center" wrapText="1"/>
    </xf>
    <xf numFmtId="3" fontId="94" fillId="0" borderId="2" xfId="16" applyNumberFormat="1" applyFont="1" applyFill="1" applyBorder="1" applyAlignment="1">
      <alignment vertical="center" wrapText="1"/>
    </xf>
    <xf numFmtId="3" fontId="51" fillId="0" borderId="0" xfId="4" applyNumberFormat="1" applyFont="1" applyFill="1" applyBorder="1" applyAlignment="1">
      <alignment vertical="center"/>
    </xf>
    <xf numFmtId="3" fontId="95" fillId="0" borderId="2" xfId="4" applyNumberFormat="1" applyFont="1" applyFill="1" applyBorder="1" applyAlignment="1">
      <alignment vertical="center" wrapText="1"/>
    </xf>
    <xf numFmtId="3" fontId="38" fillId="4" borderId="2" xfId="4" applyNumberFormat="1" applyFont="1" applyFill="1" applyBorder="1" applyAlignment="1">
      <alignment vertical="center" wrapText="1"/>
    </xf>
    <xf numFmtId="3" fontId="96" fillId="0" borderId="2" xfId="4" applyNumberFormat="1" applyFont="1" applyFill="1" applyBorder="1" applyAlignment="1">
      <alignment vertical="center" wrapText="1"/>
    </xf>
    <xf numFmtId="0" fontId="42" fillId="0" borderId="0" xfId="16" applyFill="1" applyAlignment="1">
      <alignment wrapText="1"/>
    </xf>
    <xf numFmtId="165" fontId="51" fillId="0" borderId="0" xfId="10" applyNumberFormat="1" applyFont="1" applyFill="1" applyAlignment="1">
      <alignment wrapText="1"/>
    </xf>
    <xf numFmtId="0" fontId="93" fillId="0" borderId="0" xfId="4" applyFont="1" applyFill="1" applyBorder="1"/>
    <xf numFmtId="0" fontId="44" fillId="0" borderId="0" xfId="70" applyFont="1"/>
    <xf numFmtId="0" fontId="44" fillId="0" borderId="0" xfId="70" applyFont="1" applyAlignment="1">
      <alignment wrapText="1"/>
    </xf>
    <xf numFmtId="3" fontId="36" fillId="0" borderId="0" xfId="70" applyNumberFormat="1" applyFont="1"/>
    <xf numFmtId="0" fontId="36" fillId="0" borderId="0" xfId="70" applyFont="1"/>
    <xf numFmtId="0" fontId="36" fillId="0" borderId="0" xfId="70" applyFont="1" applyAlignment="1">
      <alignment wrapText="1"/>
    </xf>
    <xf numFmtId="0" fontId="5" fillId="0" borderId="0" xfId="70"/>
    <xf numFmtId="3" fontId="44" fillId="0" borderId="0" xfId="70" applyNumberFormat="1" applyFont="1"/>
    <xf numFmtId="0" fontId="38" fillId="0" borderId="0" xfId="70" applyFont="1"/>
    <xf numFmtId="3" fontId="37" fillId="0" borderId="2" xfId="70" applyNumberFormat="1" applyFont="1" applyBorder="1" applyAlignment="1">
      <alignment horizontal="right" vertical="center" wrapText="1"/>
    </xf>
    <xf numFmtId="3" fontId="92" fillId="0" borderId="2" xfId="4" applyNumberFormat="1" applyFont="1" applyBorder="1" applyAlignment="1">
      <alignment vertical="center" wrapText="1"/>
    </xf>
    <xf numFmtId="3" fontId="37" fillId="0" borderId="0" xfId="4" applyNumberFormat="1" applyFont="1" applyAlignment="1">
      <alignment horizontal="right" vertical="center" wrapText="1"/>
    </xf>
    <xf numFmtId="3" fontId="51" fillId="0" borderId="2" xfId="4" applyNumberFormat="1" applyFont="1" applyBorder="1" applyAlignment="1">
      <alignment vertical="center" wrapText="1"/>
    </xf>
    <xf numFmtId="0" fontId="51" fillId="0" borderId="0" xfId="4" applyFont="1" applyAlignment="1">
      <alignment vertical="center" wrapText="1"/>
    </xf>
    <xf numFmtId="0" fontId="44" fillId="0" borderId="0" xfId="71" applyFont="1" applyFill="1" applyAlignment="1"/>
    <xf numFmtId="3" fontId="44" fillId="0" borderId="0" xfId="71" applyNumberFormat="1" applyFont="1" applyFill="1" applyAlignment="1"/>
    <xf numFmtId="0" fontId="5" fillId="0" borderId="0" xfId="71" applyFill="1"/>
    <xf numFmtId="165" fontId="37" fillId="0" borderId="0" xfId="10" applyNumberFormat="1" applyFont="1" applyFill="1" applyAlignment="1">
      <alignment wrapText="1"/>
    </xf>
    <xf numFmtId="0" fontId="44" fillId="0" borderId="0" xfId="69" applyFont="1" applyAlignment="1"/>
    <xf numFmtId="3" fontId="36" fillId="0" borderId="0" xfId="69" applyNumberFormat="1" applyFont="1"/>
    <xf numFmtId="0" fontId="36" fillId="0" borderId="0" xfId="69" applyFont="1"/>
    <xf numFmtId="0" fontId="36" fillId="0" borderId="0" xfId="69" applyFont="1" applyAlignment="1"/>
    <xf numFmtId="0" fontId="38" fillId="0" borderId="0" xfId="69" applyFont="1"/>
    <xf numFmtId="0" fontId="5" fillId="0" borderId="0" xfId="69"/>
    <xf numFmtId="0" fontId="38" fillId="0" borderId="0" xfId="69" applyFont="1" applyAlignment="1"/>
    <xf numFmtId="3" fontId="38" fillId="0" borderId="0" xfId="69" applyNumberFormat="1" applyFont="1"/>
    <xf numFmtId="3" fontId="37" fillId="0" borderId="2" xfId="69" applyNumberFormat="1" applyFont="1" applyBorder="1" applyAlignment="1">
      <alignment horizontal="right" vertical="center" wrapText="1"/>
    </xf>
    <xf numFmtId="3" fontId="37" fillId="0" borderId="2" xfId="69" applyNumberFormat="1" applyFont="1" applyBorder="1" applyAlignment="1">
      <alignment horizontal="right" vertical="center"/>
    </xf>
    <xf numFmtId="0" fontId="38" fillId="0" borderId="2" xfId="69" applyFont="1" applyBorder="1" applyAlignment="1">
      <alignment vertical="center" wrapText="1"/>
    </xf>
    <xf numFmtId="3" fontId="38" fillId="0" borderId="2" xfId="69" applyNumberFormat="1" applyFont="1" applyBorder="1" applyAlignment="1">
      <alignment vertical="center" wrapText="1"/>
    </xf>
    <xf numFmtId="3" fontId="38" fillId="0" borderId="2" xfId="69" applyNumberFormat="1" applyFont="1" applyFill="1" applyBorder="1" applyAlignment="1">
      <alignment vertical="center" wrapText="1"/>
    </xf>
    <xf numFmtId="3" fontId="92" fillId="0" borderId="2" xfId="69" applyNumberFormat="1" applyFont="1" applyFill="1" applyBorder="1" applyAlignment="1">
      <alignment vertical="center" wrapText="1"/>
    </xf>
    <xf numFmtId="3" fontId="37" fillId="0" borderId="2" xfId="73" applyNumberFormat="1" applyFont="1" applyFill="1" applyBorder="1" applyAlignment="1">
      <alignment horizontal="center" vertical="center" wrapText="1"/>
    </xf>
    <xf numFmtId="0" fontId="97" fillId="0" borderId="0" xfId="16" applyFont="1" applyFill="1" applyBorder="1" applyAlignment="1"/>
    <xf numFmtId="0" fontId="86" fillId="0" borderId="0" xfId="77" applyFont="1" applyFill="1"/>
    <xf numFmtId="17" fontId="37" fillId="0" borderId="2" xfId="4" quotePrefix="1" applyNumberFormat="1" applyFont="1" applyFill="1" applyBorder="1" applyAlignment="1">
      <alignment horizontal="right" vertical="center" wrapText="1"/>
    </xf>
    <xf numFmtId="165" fontId="38" fillId="3" borderId="2" xfId="10" applyNumberFormat="1" applyFont="1" applyFill="1" applyBorder="1" applyAlignment="1">
      <alignment wrapText="1"/>
    </xf>
    <xf numFmtId="165" fontId="38" fillId="0" borderId="0" xfId="10" applyNumberFormat="1" applyFont="1" applyFill="1" applyAlignment="1"/>
    <xf numFmtId="3" fontId="37" fillId="0" borderId="2" xfId="78" applyNumberFormat="1" applyFont="1" applyFill="1" applyBorder="1" applyAlignment="1">
      <alignment horizontal="right" vertical="center" wrapText="1"/>
    </xf>
    <xf numFmtId="3" fontId="38" fillId="6" borderId="2" xfId="16" applyNumberFormat="1" applyFont="1" applyFill="1" applyBorder="1" applyAlignment="1">
      <alignment vertical="center" wrapText="1"/>
    </xf>
    <xf numFmtId="3" fontId="38" fillId="7" borderId="2" xfId="16" applyNumberFormat="1" applyFont="1" applyFill="1" applyBorder="1" applyAlignment="1">
      <alignment vertical="center" wrapText="1"/>
    </xf>
    <xf numFmtId="17" fontId="38" fillId="0" borderId="2" xfId="4" applyNumberFormat="1" applyFont="1" applyFill="1" applyBorder="1" applyAlignment="1">
      <alignment vertical="center" wrapText="1"/>
    </xf>
    <xf numFmtId="3" fontId="37" fillId="0" borderId="2" xfId="79" applyNumberFormat="1" applyFont="1" applyFill="1" applyBorder="1" applyAlignment="1">
      <alignment horizontal="center" vertical="center" wrapText="1"/>
    </xf>
    <xf numFmtId="165" fontId="42" fillId="0" borderId="0" xfId="10" applyNumberFormat="1" applyFont="1" applyAlignment="1">
      <alignment horizontal="right" vertical="center" wrapText="1"/>
    </xf>
    <xf numFmtId="3" fontId="92" fillId="8" borderId="2" xfId="4" applyNumberFormat="1" applyFont="1" applyFill="1" applyBorder="1" applyAlignment="1">
      <alignment vertical="center" wrapText="1"/>
    </xf>
    <xf numFmtId="3" fontId="38" fillId="0" borderId="2" xfId="4" applyNumberFormat="1" applyFont="1" applyFill="1" applyBorder="1" applyAlignment="1">
      <alignment horizontal="center" vertical="center"/>
    </xf>
    <xf numFmtId="165" fontId="42" fillId="0" borderId="0" xfId="10" applyNumberFormat="1" applyFont="1" applyAlignment="1">
      <alignment wrapText="1"/>
    </xf>
    <xf numFmtId="3" fontId="98" fillId="0" borderId="2" xfId="16" applyNumberFormat="1" applyFont="1" applyFill="1" applyBorder="1" applyAlignment="1">
      <alignment vertical="center"/>
    </xf>
    <xf numFmtId="3" fontId="85" fillId="0" borderId="2" xfId="16" applyNumberFormat="1" applyFont="1" applyBorder="1" applyAlignment="1">
      <alignment wrapText="1"/>
    </xf>
    <xf numFmtId="3" fontId="42" fillId="0" borderId="0" xfId="16" applyNumberFormat="1" applyAlignment="1">
      <alignment wrapText="1"/>
    </xf>
    <xf numFmtId="0" fontId="44" fillId="0" borderId="0" xfId="80" applyFont="1"/>
    <xf numFmtId="0" fontId="44" fillId="0" borderId="0" xfId="80" applyFont="1" applyAlignment="1">
      <alignment wrapText="1"/>
    </xf>
    <xf numFmtId="3" fontId="36" fillId="0" borderId="0" xfId="80" applyNumberFormat="1" applyFont="1"/>
    <xf numFmtId="0" fontId="36" fillId="0" borderId="0" xfId="80" applyFont="1"/>
    <xf numFmtId="0" fontId="36" fillId="0" borderId="0" xfId="80" applyFont="1" applyAlignment="1">
      <alignment wrapText="1"/>
    </xf>
    <xf numFmtId="0" fontId="3" fillId="0" borderId="0" xfId="80"/>
    <xf numFmtId="3" fontId="44" fillId="0" borderId="0" xfId="80" applyNumberFormat="1" applyFont="1"/>
    <xf numFmtId="0" fontId="38" fillId="0" borderId="0" xfId="80" applyFont="1"/>
    <xf numFmtId="3" fontId="37" fillId="0" borderId="2" xfId="80" applyNumberFormat="1" applyFont="1" applyBorder="1" applyAlignment="1">
      <alignment horizontal="right" vertical="center" wrapText="1"/>
    </xf>
    <xf numFmtId="0" fontId="38" fillId="0" borderId="2" xfId="4" applyFont="1" applyBorder="1" applyAlignment="1">
      <alignment vertical="center"/>
    </xf>
    <xf numFmtId="3" fontId="38" fillId="8" borderId="2" xfId="4" applyNumberFormat="1" applyFont="1" applyFill="1" applyBorder="1" applyAlignment="1">
      <alignment vertical="center" wrapText="1"/>
    </xf>
    <xf numFmtId="0" fontId="52" fillId="0" borderId="0" xfId="4" applyFont="1" applyAlignment="1">
      <alignment wrapText="1"/>
    </xf>
    <xf numFmtId="0" fontId="44" fillId="0" borderId="0" xfId="81" applyFont="1" applyFill="1" applyAlignment="1"/>
    <xf numFmtId="3" fontId="44" fillId="0" borderId="0" xfId="81" applyNumberFormat="1" applyFont="1" applyFill="1" applyAlignment="1"/>
    <xf numFmtId="0" fontId="3" fillId="0" borderId="0" xfId="81" applyFill="1"/>
    <xf numFmtId="0" fontId="3" fillId="0" borderId="2" xfId="81" applyFill="1" applyBorder="1"/>
    <xf numFmtId="3" fontId="38" fillId="0" borderId="2" xfId="79" applyNumberFormat="1" applyFont="1" applyFill="1" applyBorder="1" applyAlignment="1">
      <alignment vertical="center" wrapText="1"/>
    </xf>
    <xf numFmtId="0" fontId="44" fillId="0" borderId="0" xfId="79" applyFont="1" applyAlignment="1"/>
    <xf numFmtId="3" fontId="36" fillId="0" borderId="0" xfId="79" applyNumberFormat="1" applyFont="1"/>
    <xf numFmtId="0" fontId="36" fillId="0" borderId="0" xfId="79" applyFont="1"/>
    <xf numFmtId="0" fontId="36" fillId="0" borderId="0" xfId="79" applyFont="1" applyAlignment="1"/>
    <xf numFmtId="0" fontId="38" fillId="0" borderId="0" xfId="79" applyFont="1"/>
    <xf numFmtId="0" fontId="3" fillId="0" borderId="0" xfId="79"/>
    <xf numFmtId="0" fontId="38" fillId="0" borderId="0" xfId="79" applyFont="1" applyAlignment="1"/>
    <xf numFmtId="3" fontId="38" fillId="0" borderId="0" xfId="79" applyNumberFormat="1" applyFont="1"/>
    <xf numFmtId="3" fontId="37" fillId="0" borderId="2" xfId="79" applyNumberFormat="1" applyFont="1" applyBorder="1" applyAlignment="1">
      <alignment horizontal="right" vertical="center" wrapText="1"/>
    </xf>
    <xf numFmtId="3" fontId="37" fillId="0" borderId="2" xfId="79" applyNumberFormat="1" applyFont="1" applyBorder="1" applyAlignment="1">
      <alignment horizontal="right" vertical="center"/>
    </xf>
    <xf numFmtId="0" fontId="38" fillId="0" borderId="2" xfId="79" applyFont="1" applyBorder="1" applyAlignment="1">
      <alignment vertical="center" wrapText="1"/>
    </xf>
    <xf numFmtId="3" fontId="38" fillId="0" borderId="2" xfId="79" applyNumberFormat="1" applyFont="1" applyBorder="1" applyAlignment="1">
      <alignment vertical="center" wrapText="1"/>
    </xf>
    <xf numFmtId="3" fontId="92" fillId="0" borderId="2" xfId="79" applyNumberFormat="1" applyFont="1" applyFill="1" applyBorder="1" applyAlignment="1">
      <alignment vertical="center" wrapText="1"/>
    </xf>
    <xf numFmtId="0" fontId="3" fillId="0" borderId="2" xfId="79" applyBorder="1"/>
    <xf numFmtId="0" fontId="37" fillId="0" borderId="2" xfId="79" applyFont="1" applyFill="1" applyBorder="1" applyAlignment="1">
      <alignment vertical="center" wrapText="1"/>
    </xf>
    <xf numFmtId="0" fontId="38" fillId="0" borderId="0" xfId="79" applyFont="1" applyBorder="1" applyAlignment="1"/>
    <xf numFmtId="0" fontId="38" fillId="0" borderId="0" xfId="79" applyFont="1" applyBorder="1"/>
    <xf numFmtId="3" fontId="38" fillId="0" borderId="0" xfId="79" applyNumberFormat="1" applyFont="1" applyBorder="1"/>
    <xf numFmtId="3" fontId="37" fillId="0" borderId="2" xfId="81" applyNumberFormat="1" applyFont="1" applyBorder="1" applyAlignment="1">
      <alignment horizontal="right" vertical="center"/>
    </xf>
    <xf numFmtId="3" fontId="37" fillId="0" borderId="2" xfId="82" applyNumberFormat="1" applyFont="1" applyBorder="1" applyAlignment="1">
      <alignment horizontal="right" vertical="center" wrapText="1"/>
    </xf>
    <xf numFmtId="0" fontId="39" fillId="0" borderId="0" xfId="16" applyFont="1" applyAlignment="1"/>
    <xf numFmtId="0" fontId="39" fillId="0" borderId="0" xfId="16" applyFont="1" applyAlignment="1">
      <alignment wrapText="1"/>
    </xf>
    <xf numFmtId="0" fontId="43" fillId="0" borderId="0" xfId="16" applyFont="1" applyAlignment="1"/>
    <xf numFmtId="0" fontId="3" fillId="0" borderId="0" xfId="78"/>
    <xf numFmtId="3" fontId="43" fillId="0" borderId="0" xfId="16" applyNumberFormat="1" applyFont="1" applyAlignment="1"/>
    <xf numFmtId="0" fontId="43" fillId="0" borderId="0" xfId="16" applyFont="1" applyAlignment="1">
      <alignment horizontal="center"/>
    </xf>
    <xf numFmtId="0" fontId="43" fillId="0" borderId="0" xfId="16" applyFont="1" applyAlignment="1">
      <alignment horizontal="center" wrapText="1"/>
    </xf>
    <xf numFmtId="3" fontId="43" fillId="0" borderId="0" xfId="16" applyNumberFormat="1" applyFont="1" applyAlignment="1">
      <alignment horizontal="center"/>
    </xf>
    <xf numFmtId="0" fontId="39" fillId="0" borderId="2" xfId="16" applyFont="1" applyBorder="1" applyAlignment="1">
      <alignment horizontal="center" vertical="center" wrapText="1"/>
    </xf>
    <xf numFmtId="0" fontId="39" fillId="0" borderId="2" xfId="16" applyFont="1" applyBorder="1" applyAlignment="1">
      <alignment vertical="center" wrapText="1"/>
    </xf>
    <xf numFmtId="0" fontId="40" fillId="0" borderId="2" xfId="16" applyFont="1" applyBorder="1" applyAlignment="1">
      <alignment horizontal="center" vertical="center" wrapText="1"/>
    </xf>
    <xf numFmtId="0" fontId="40" fillId="0" borderId="2" xfId="16" applyFont="1" applyBorder="1" applyAlignment="1">
      <alignment vertical="center" wrapText="1"/>
    </xf>
    <xf numFmtId="0" fontId="39" fillId="0" borderId="0" xfId="16" applyFont="1" applyAlignment="1">
      <alignment horizontal="center" vertical="center" wrapText="1"/>
    </xf>
    <xf numFmtId="0" fontId="39" fillId="0" borderId="2" xfId="16" applyFont="1" applyBorder="1"/>
    <xf numFmtId="0" fontId="39" fillId="0" borderId="2" xfId="16" applyFont="1" applyBorder="1" applyAlignment="1"/>
    <xf numFmtId="0" fontId="40" fillId="0" borderId="2" xfId="16" applyFont="1" applyBorder="1" applyAlignment="1">
      <alignment wrapText="1"/>
    </xf>
    <xf numFmtId="0" fontId="39" fillId="0" borderId="2" xfId="16" applyFont="1" applyBorder="1" applyAlignment="1">
      <alignment vertical="center"/>
    </xf>
    <xf numFmtId="0" fontId="39" fillId="0" borderId="2" xfId="16" applyFont="1" applyBorder="1" applyAlignment="1">
      <alignment horizontal="right" vertical="center" wrapText="1"/>
    </xf>
    <xf numFmtId="3" fontId="39" fillId="0" borderId="2" xfId="16" applyNumberFormat="1" applyFont="1" applyBorder="1" applyAlignment="1">
      <alignment horizontal="right" vertical="center" wrapText="1"/>
    </xf>
    <xf numFmtId="0" fontId="43" fillId="0" borderId="0" xfId="16" applyFont="1" applyAlignment="1">
      <alignment vertical="center"/>
    </xf>
    <xf numFmtId="0" fontId="40" fillId="0" borderId="0" xfId="16" applyFont="1" applyAlignment="1">
      <alignment vertical="center"/>
    </xf>
    <xf numFmtId="0" fontId="40" fillId="0" borderId="2" xfId="16" applyFont="1" applyBorder="1"/>
    <xf numFmtId="0" fontId="40" fillId="0" borderId="2" xfId="16" applyFont="1" applyBorder="1" applyAlignment="1"/>
    <xf numFmtId="3" fontId="40" fillId="0" borderId="2" xfId="16" applyNumberFormat="1" applyFont="1" applyBorder="1" applyAlignment="1">
      <alignment vertical="center" wrapText="1"/>
    </xf>
    <xf numFmtId="3" fontId="39" fillId="3" borderId="2" xfId="16" applyNumberFormat="1" applyFont="1" applyFill="1" applyBorder="1" applyAlignment="1">
      <alignment vertical="center"/>
    </xf>
    <xf numFmtId="0" fontId="43" fillId="0" borderId="2" xfId="16" applyFont="1" applyFill="1" applyBorder="1" applyAlignment="1">
      <alignment horizontal="center" vertical="center"/>
    </xf>
    <xf numFmtId="0" fontId="43" fillId="0" borderId="0" xfId="16" applyFont="1" applyFill="1" applyAlignment="1">
      <alignment horizontal="center" vertical="center"/>
    </xf>
    <xf numFmtId="3" fontId="89" fillId="0" borderId="2" xfId="16" applyNumberFormat="1" applyFont="1" applyBorder="1" applyAlignment="1">
      <alignment vertical="center"/>
    </xf>
    <xf numFmtId="3" fontId="99" fillId="0" borderId="2" xfId="16" applyNumberFormat="1" applyFont="1" applyBorder="1" applyAlignment="1">
      <alignment vertical="center"/>
    </xf>
    <xf numFmtId="0" fontId="43" fillId="0" borderId="0" xfId="16" applyFont="1" applyBorder="1" applyAlignment="1">
      <alignment vertical="center"/>
    </xf>
    <xf numFmtId="0" fontId="40" fillId="0" borderId="0" xfId="16" applyFont="1" applyBorder="1" applyAlignment="1">
      <alignment vertical="center"/>
    </xf>
    <xf numFmtId="3" fontId="100" fillId="0" borderId="2" xfId="16" applyNumberFormat="1" applyFont="1" applyBorder="1" applyAlignment="1">
      <alignment vertical="center"/>
    </xf>
    <xf numFmtId="0" fontId="36" fillId="0" borderId="2" xfId="16" applyFont="1" applyBorder="1" applyAlignment="1">
      <alignment vertical="center" wrapText="1"/>
    </xf>
    <xf numFmtId="0" fontId="40" fillId="0" borderId="2" xfId="16" applyFont="1" applyBorder="1" applyAlignment="1">
      <alignment vertical="center"/>
    </xf>
    <xf numFmtId="0" fontId="36" fillId="0" borderId="2" xfId="16" applyFont="1" applyBorder="1" applyAlignment="1">
      <alignment vertical="center"/>
    </xf>
    <xf numFmtId="0" fontId="90" fillId="0" borderId="0" xfId="16" applyFont="1" applyAlignment="1">
      <alignment vertical="center"/>
    </xf>
    <xf numFmtId="0" fontId="40" fillId="0" borderId="0" xfId="16" applyFont="1" applyBorder="1"/>
    <xf numFmtId="0" fontId="40" fillId="0" borderId="0" xfId="16" applyFont="1" applyBorder="1" applyAlignment="1"/>
    <xf numFmtId="0" fontId="40" fillId="0" borderId="0" xfId="16" applyFont="1" applyBorder="1" applyAlignment="1">
      <alignment wrapText="1"/>
    </xf>
    <xf numFmtId="3" fontId="40" fillId="0" borderId="0" xfId="16" applyNumberFormat="1" applyFont="1" applyBorder="1"/>
    <xf numFmtId="3" fontId="40" fillId="0" borderId="0" xfId="16" applyNumberFormat="1" applyFont="1" applyBorder="1" applyAlignment="1">
      <alignment wrapText="1"/>
    </xf>
    <xf numFmtId="0" fontId="36" fillId="0" borderId="0" xfId="16" applyFont="1" applyFill="1" applyBorder="1"/>
    <xf numFmtId="17" fontId="36" fillId="0" borderId="0" xfId="16" applyNumberFormat="1" applyFont="1" applyBorder="1"/>
    <xf numFmtId="3" fontId="40" fillId="0" borderId="0" xfId="16" applyNumberFormat="1" applyFont="1" applyBorder="1" applyAlignment="1">
      <alignment vertical="center"/>
    </xf>
    <xf numFmtId="0" fontId="39" fillId="0" borderId="0" xfId="16" applyFont="1" applyBorder="1" applyAlignment="1"/>
    <xf numFmtId="0" fontId="36" fillId="0" borderId="0" xfId="16" applyFont="1" applyBorder="1"/>
    <xf numFmtId="3" fontId="52" fillId="0" borderId="0" xfId="16" applyNumberFormat="1" applyFont="1" applyBorder="1" applyAlignment="1">
      <alignment wrapText="1"/>
    </xf>
    <xf numFmtId="3" fontId="52" fillId="0" borderId="0" xfId="16" applyNumberFormat="1" applyFont="1" applyBorder="1"/>
    <xf numFmtId="0" fontId="43" fillId="0" borderId="0" xfId="16" applyFont="1" applyBorder="1" applyAlignment="1"/>
    <xf numFmtId="0" fontId="39" fillId="0" borderId="0" xfId="16" applyFont="1" applyBorder="1"/>
    <xf numFmtId="0" fontId="39" fillId="0" borderId="0" xfId="16" applyFont="1" applyFill="1" applyBorder="1"/>
    <xf numFmtId="0" fontId="3" fillId="0" borderId="0" xfId="78" applyBorder="1"/>
    <xf numFmtId="3" fontId="52" fillId="0" borderId="0" xfId="16" applyNumberFormat="1" applyFont="1"/>
    <xf numFmtId="0" fontId="52" fillId="0" borderId="0" xfId="16" applyFont="1" applyBorder="1"/>
    <xf numFmtId="0" fontId="53" fillId="0" borderId="0" xfId="16" applyFont="1" applyAlignment="1">
      <alignment vertical="center"/>
    </xf>
    <xf numFmtId="3" fontId="101" fillId="0" borderId="0" xfId="16" applyNumberFormat="1" applyFont="1"/>
    <xf numFmtId="0" fontId="40" fillId="0" borderId="2" xfId="16" applyFont="1" applyBorder="1" applyAlignment="1">
      <alignment horizontal="center" wrapText="1"/>
    </xf>
    <xf numFmtId="0" fontId="39" fillId="0" borderId="0" xfId="16" applyFont="1" applyFill="1" applyAlignment="1">
      <alignment horizontal="center" vertical="center"/>
    </xf>
    <xf numFmtId="0" fontId="37" fillId="0" borderId="3" xfId="16" applyFont="1" applyFill="1" applyBorder="1" applyAlignment="1">
      <alignment horizontal="right" vertical="center" wrapText="1"/>
    </xf>
    <xf numFmtId="3" fontId="82" fillId="0" borderId="2" xfId="16" applyNumberFormat="1" applyFont="1" applyFill="1" applyBorder="1" applyAlignment="1">
      <alignment vertical="center" wrapText="1"/>
    </xf>
    <xf numFmtId="0" fontId="51" fillId="0" borderId="0" xfId="16" applyFont="1" applyFill="1" applyAlignment="1"/>
    <xf numFmtId="3" fontId="51" fillId="0" borderId="0" xfId="16" applyNumberFormat="1" applyFont="1" applyFill="1"/>
    <xf numFmtId="0" fontId="93" fillId="0" borderId="0" xfId="16" applyFont="1" applyFill="1"/>
    <xf numFmtId="3" fontId="92" fillId="8" borderId="2" xfId="16" applyNumberFormat="1" applyFont="1" applyFill="1" applyBorder="1" applyAlignment="1">
      <alignment vertical="center" wrapText="1"/>
    </xf>
    <xf numFmtId="165" fontId="32" fillId="0" borderId="0" xfId="12" applyNumberFormat="1" applyFont="1"/>
    <xf numFmtId="165" fontId="32" fillId="0" borderId="0" xfId="17" applyNumberFormat="1"/>
    <xf numFmtId="0" fontId="1" fillId="0" borderId="0" xfId="17" applyFont="1"/>
    <xf numFmtId="0" fontId="70" fillId="0" borderId="0" xfId="30" applyFont="1" applyAlignment="1">
      <alignment vertical="center" readingOrder="2"/>
    </xf>
    <xf numFmtId="0" fontId="68" fillId="0" borderId="0" xfId="30" applyFont="1" applyAlignment="1">
      <alignment vertical="center" readingOrder="2"/>
    </xf>
    <xf numFmtId="0" fontId="38" fillId="0" borderId="2" xfId="16" applyFont="1" applyFill="1" applyBorder="1" applyAlignment="1"/>
    <xf numFmtId="0" fontId="36" fillId="0" borderId="0" xfId="16" applyFont="1" applyFill="1" applyAlignment="1">
      <alignment vertical="center"/>
    </xf>
    <xf numFmtId="0" fontId="39" fillId="0" borderId="2" xfId="16" applyFont="1" applyFill="1" applyBorder="1" applyAlignment="1">
      <alignment vertical="center"/>
    </xf>
    <xf numFmtId="0" fontId="40" fillId="0" borderId="2" xfId="16" applyFont="1" applyFill="1" applyBorder="1" applyAlignment="1">
      <alignment vertical="center"/>
    </xf>
    <xf numFmtId="0" fontId="40" fillId="0" borderId="2" xfId="4" applyFont="1" applyFill="1" applyBorder="1" applyAlignment="1">
      <alignment horizontal="center" vertical="center"/>
    </xf>
    <xf numFmtId="0" fontId="43" fillId="0" borderId="0" xfId="16" applyFont="1" applyFill="1" applyAlignment="1">
      <alignment horizontal="center"/>
    </xf>
    <xf numFmtId="0" fontId="40" fillId="0" borderId="2" xfId="16" applyFont="1" applyBorder="1" applyAlignment="1">
      <alignment horizontal="center"/>
    </xf>
    <xf numFmtId="0" fontId="50" fillId="0" borderId="0" xfId="4" applyFont="1" applyFill="1" applyBorder="1" applyAlignment="1">
      <alignment vertical="center" wrapText="1"/>
    </xf>
    <xf numFmtId="0" fontId="38" fillId="0" borderId="0" xfId="16" applyFont="1" applyFill="1" applyBorder="1" applyAlignment="1">
      <alignment vertical="center" wrapText="1"/>
    </xf>
    <xf numFmtId="3" fontId="38" fillId="0" borderId="0" xfId="16" applyNumberFormat="1" applyFont="1" applyFill="1" applyBorder="1" applyAlignment="1">
      <alignment vertical="center" wrapText="1"/>
    </xf>
    <xf numFmtId="3" fontId="38" fillId="0" borderId="0" xfId="4" applyNumberFormat="1" applyFont="1" applyFill="1" applyBorder="1" applyAlignment="1">
      <alignment vertical="center" wrapText="1"/>
    </xf>
    <xf numFmtId="0" fontId="38" fillId="0" borderId="0" xfId="16" applyFont="1" applyFill="1" applyBorder="1" applyAlignment="1">
      <alignment vertical="center"/>
    </xf>
    <xf numFmtId="0" fontId="50" fillId="0" borderId="0" xfId="16" applyFont="1" applyFill="1" applyBorder="1" applyAlignment="1">
      <alignment vertical="center" wrapText="1"/>
    </xf>
    <xf numFmtId="0" fontId="42" fillId="0" borderId="0" xfId="16" applyFont="1" applyBorder="1"/>
    <xf numFmtId="0" fontId="38" fillId="0" borderId="0" xfId="16" applyFont="1" applyFill="1" applyBorder="1" applyAlignment="1">
      <alignment wrapText="1"/>
    </xf>
    <xf numFmtId="3" fontId="38" fillId="0" borderId="0" xfId="16" applyNumberFormat="1" applyFont="1" applyFill="1" applyBorder="1" applyAlignment="1">
      <alignment vertical="center"/>
    </xf>
    <xf numFmtId="0" fontId="55" fillId="0" borderId="0" xfId="16" applyFont="1" applyAlignment="1">
      <alignment horizontal="center"/>
    </xf>
    <xf numFmtId="3" fontId="39" fillId="0" borderId="27" xfId="16" applyNumberFormat="1" applyFont="1" applyBorder="1" applyAlignment="1">
      <alignment horizontal="center"/>
    </xf>
    <xf numFmtId="3" fontId="39" fillId="0" borderId="29" xfId="16" applyNumberFormat="1" applyFont="1" applyBorder="1" applyAlignment="1">
      <alignment horizontal="center"/>
    </xf>
    <xf numFmtId="3" fontId="39" fillId="0" borderId="23" xfId="16" applyNumberFormat="1" applyFont="1" applyBorder="1" applyAlignment="1">
      <alignment horizontal="center"/>
    </xf>
    <xf numFmtId="0" fontId="40" fillId="0" borderId="2" xfId="4" applyFont="1" applyFill="1" applyBorder="1" applyAlignment="1">
      <alignment horizontal="center" vertical="center"/>
    </xf>
    <xf numFmtId="0" fontId="40" fillId="0" borderId="10" xfId="4" applyFont="1" applyFill="1" applyBorder="1" applyAlignment="1">
      <alignment horizontal="center" vertical="center"/>
    </xf>
    <xf numFmtId="0" fontId="70" fillId="0" borderId="45" xfId="22" applyFont="1" applyBorder="1" applyAlignment="1">
      <alignment vertical="center" readingOrder="2"/>
    </xf>
    <xf numFmtId="0" fontId="70" fillId="0" borderId="25" xfId="22" applyFont="1" applyBorder="1" applyAlignment="1">
      <alignment vertical="center" readingOrder="2"/>
    </xf>
    <xf numFmtId="3" fontId="59" fillId="0" borderId="42" xfId="22" applyNumberFormat="1" applyFont="1" applyBorder="1" applyAlignment="1">
      <alignment horizontal="center" vertical="center" readingOrder="2"/>
    </xf>
    <xf numFmtId="3" fontId="59" fillId="0" borderId="38" xfId="22" applyNumberFormat="1" applyFont="1" applyBorder="1" applyAlignment="1">
      <alignment horizontal="center" vertical="center" readingOrder="2"/>
    </xf>
    <xf numFmtId="3" fontId="59" fillId="0" borderId="25" xfId="22" applyNumberFormat="1" applyFont="1" applyBorder="1" applyAlignment="1">
      <alignment horizontal="center" vertical="center" readingOrder="2"/>
    </xf>
    <xf numFmtId="0" fontId="59" fillId="0" borderId="27" xfId="22" applyFont="1" applyBorder="1" applyAlignment="1">
      <alignment vertical="center" readingOrder="2"/>
    </xf>
    <xf numFmtId="0" fontId="59" fillId="0" borderId="41" xfId="22" applyFont="1" applyBorder="1" applyAlignment="1">
      <alignment vertical="center" readingOrder="2"/>
    </xf>
    <xf numFmtId="0" fontId="59" fillId="0" borderId="40" xfId="22" applyFont="1" applyBorder="1" applyAlignment="1">
      <alignment horizontal="center" vertical="center" readingOrder="2"/>
    </xf>
    <xf numFmtId="0" fontId="59" fillId="0" borderId="29" xfId="22" applyFont="1" applyBorder="1" applyAlignment="1">
      <alignment horizontal="center" vertical="center" readingOrder="2"/>
    </xf>
    <xf numFmtId="0" fontId="59" fillId="0" borderId="41" xfId="22" applyFont="1" applyBorder="1" applyAlignment="1">
      <alignment horizontal="center" vertical="center" readingOrder="2"/>
    </xf>
    <xf numFmtId="0" fontId="70" fillId="0" borderId="28" xfId="22" applyFont="1" applyBorder="1" applyAlignment="1">
      <alignment vertical="center" readingOrder="2"/>
    </xf>
    <xf numFmtId="0" fontId="70" fillId="0" borderId="6" xfId="22" applyFont="1" applyBorder="1" applyAlignment="1">
      <alignment vertical="center" readingOrder="2"/>
    </xf>
    <xf numFmtId="3" fontId="57" fillId="0" borderId="4" xfId="22" applyNumberFormat="1" applyFont="1" applyBorder="1" applyAlignment="1">
      <alignment horizontal="center" vertical="center" readingOrder="2"/>
    </xf>
    <xf numFmtId="3" fontId="57" fillId="0" borderId="5" xfId="22" applyNumberFormat="1" applyFont="1" applyBorder="1" applyAlignment="1">
      <alignment horizontal="center" vertical="center" readingOrder="2"/>
    </xf>
    <xf numFmtId="3" fontId="57" fillId="0" borderId="6" xfId="22" applyNumberFormat="1" applyFont="1" applyBorder="1" applyAlignment="1">
      <alignment horizontal="center" vertical="center" readingOrder="2"/>
    </xf>
    <xf numFmtId="0" fontId="44" fillId="0" borderId="0" xfId="16" applyFont="1" applyFill="1" applyAlignment="1">
      <alignment horizontal="center"/>
    </xf>
    <xf numFmtId="0" fontId="83" fillId="0" borderId="4" xfId="4" quotePrefix="1" applyFont="1" applyFill="1" applyBorder="1" applyAlignment="1">
      <alignment horizontal="center" vertical="center"/>
    </xf>
    <xf numFmtId="0" fontId="83" fillId="0" borderId="5" xfId="4" quotePrefix="1" applyFont="1" applyFill="1" applyBorder="1" applyAlignment="1">
      <alignment horizontal="center" vertical="center"/>
    </xf>
    <xf numFmtId="0" fontId="83" fillId="0" borderId="6" xfId="4" quotePrefix="1" applyFont="1" applyFill="1" applyBorder="1" applyAlignment="1">
      <alignment horizontal="center" vertical="center"/>
    </xf>
    <xf numFmtId="0" fontId="83" fillId="0" borderId="2" xfId="4" quotePrefix="1" applyFont="1" applyFill="1" applyBorder="1" applyAlignment="1">
      <alignment horizontal="center" vertical="center"/>
    </xf>
    <xf numFmtId="0" fontId="40" fillId="0" borderId="4" xfId="4" applyFont="1" applyFill="1" applyBorder="1" applyAlignment="1">
      <alignment horizontal="center" vertical="center"/>
    </xf>
    <xf numFmtId="0" fontId="40" fillId="0" borderId="5" xfId="4" applyFont="1" applyFill="1" applyBorder="1" applyAlignment="1">
      <alignment horizontal="center" vertical="center"/>
    </xf>
    <xf numFmtId="0" fontId="40" fillId="0" borderId="6" xfId="4" applyFont="1" applyFill="1" applyBorder="1" applyAlignment="1">
      <alignment horizontal="center" vertical="center"/>
    </xf>
    <xf numFmtId="0" fontId="40" fillId="0" borderId="4" xfId="4" quotePrefix="1" applyFont="1" applyFill="1" applyBorder="1" applyAlignment="1">
      <alignment horizontal="center" vertical="center" wrapText="1"/>
    </xf>
    <xf numFmtId="0" fontId="40" fillId="0" borderId="5" xfId="4" quotePrefix="1" applyFont="1" applyFill="1" applyBorder="1" applyAlignment="1">
      <alignment horizontal="center" vertical="center" wrapText="1"/>
    </xf>
    <xf numFmtId="0" fontId="40" fillId="0" borderId="6" xfId="4" quotePrefix="1" applyFont="1" applyFill="1" applyBorder="1" applyAlignment="1">
      <alignment horizontal="center" vertical="center" wrapText="1"/>
    </xf>
    <xf numFmtId="0" fontId="40" fillId="0" borderId="2" xfId="4" quotePrefix="1" applyFont="1" applyFill="1" applyBorder="1" applyAlignment="1">
      <alignment horizontal="center" vertical="center" wrapText="1"/>
    </xf>
    <xf numFmtId="0" fontId="40" fillId="0" borderId="2" xfId="4" applyFont="1" applyFill="1" applyBorder="1" applyAlignment="1">
      <alignment horizontal="center" vertical="center" wrapText="1"/>
    </xf>
    <xf numFmtId="0" fontId="43" fillId="0" borderId="0" xfId="16" applyFont="1" applyFill="1" applyAlignment="1">
      <alignment horizontal="center"/>
    </xf>
    <xf numFmtId="0" fontId="40" fillId="0" borderId="2" xfId="16" applyFont="1" applyBorder="1" applyAlignment="1">
      <alignment horizontal="center"/>
    </xf>
    <xf numFmtId="0" fontId="40" fillId="0" borderId="2" xfId="16" applyFont="1" applyFill="1" applyBorder="1" applyAlignment="1">
      <alignment horizontal="center"/>
    </xf>
    <xf numFmtId="0" fontId="40" fillId="0" borderId="4" xfId="16" applyFont="1" applyBorder="1" applyAlignment="1">
      <alignment horizontal="center"/>
    </xf>
    <xf numFmtId="0" fontId="40" fillId="0" borderId="5" xfId="16" applyFont="1" applyBorder="1" applyAlignment="1">
      <alignment horizontal="center"/>
    </xf>
    <xf numFmtId="0" fontId="40" fillId="0" borderId="6" xfId="16" applyFont="1" applyBorder="1" applyAlignment="1">
      <alignment horizontal="center"/>
    </xf>
    <xf numFmtId="0" fontId="57" fillId="0" borderId="0" xfId="30" applyFont="1" applyAlignment="1">
      <alignment vertical="top" readingOrder="2"/>
    </xf>
    <xf numFmtId="0" fontId="70" fillId="0" borderId="0" xfId="30" applyFont="1" applyAlignment="1">
      <alignment horizontal="right" vertical="top" readingOrder="2"/>
    </xf>
  </cellXfs>
  <cellStyles count="85">
    <cellStyle name="Comma" xfId="12" builtinId="3"/>
    <cellStyle name="Comma 2" xfId="10"/>
    <cellStyle name="Comma 3" xfId="14"/>
    <cellStyle name="Comma 3 2" xfId="18"/>
    <cellStyle name="Comma 3 3" xfId="21"/>
    <cellStyle name="Comma 3 4" xfId="23"/>
    <cellStyle name="Comma 4" xfId="36"/>
    <cellStyle name="Comma 5" xfId="49"/>
    <cellStyle name="Comma 5 2" xfId="76"/>
    <cellStyle name="Comma 5 2 2" xfId="84"/>
    <cellStyle name="Normal" xfId="0" builtinId="0"/>
    <cellStyle name="Normal 10" xfId="64"/>
    <cellStyle name="Normal 11" xfId="72"/>
    <cellStyle name="Normal 2" xfId="1"/>
    <cellStyle name="Normal 2 2" xfId="5"/>
    <cellStyle name="Normal 2 2 2" xfId="19"/>
    <cellStyle name="Normal 2 3" xfId="16"/>
    <cellStyle name="Normal 2_ריכוז אגפים" xfId="6"/>
    <cellStyle name="Normal 3" xfId="2"/>
    <cellStyle name="Normal 4" xfId="4"/>
    <cellStyle name="Normal 5" xfId="11"/>
    <cellStyle name="Normal 5 2" xfId="15"/>
    <cellStyle name="Normal 5 2 2" xfId="28"/>
    <cellStyle name="Normal 5 3" xfId="26"/>
    <cellStyle name="Normal 5 3 2" xfId="31"/>
    <cellStyle name="Normal 5 3 2 2" xfId="33"/>
    <cellStyle name="Normal 5 3 3" xfId="32"/>
    <cellStyle name="Normal 5 3 4" xfId="34"/>
    <cellStyle name="Normal 5 3 4 2" xfId="38"/>
    <cellStyle name="Normal 5 3 4 3" xfId="43"/>
    <cellStyle name="Normal 5 3 4 3 2" xfId="52"/>
    <cellStyle name="Normal 5 3 4 3 2 2" xfId="68"/>
    <cellStyle name="Normal 5 3 4 3 2 3" xfId="78"/>
    <cellStyle name="Normal 5 3 4 3 3" xfId="59"/>
    <cellStyle name="Normal 5 3 4 4" xfId="45"/>
    <cellStyle name="Normal 5 3 4 5" xfId="47"/>
    <cellStyle name="Normal 5 3 5" xfId="35"/>
    <cellStyle name="Normal 5 3 5 2" xfId="37"/>
    <cellStyle name="Normal 5 3 5 3" xfId="39"/>
    <cellStyle name="Normal 5 3 5 3 2" xfId="56"/>
    <cellStyle name="Normal 5 3 5 3 2 2" xfId="71"/>
    <cellStyle name="Normal 5 3 5 3 2 3" xfId="81"/>
    <cellStyle name="Normal 5 3 5 3 3" xfId="62"/>
    <cellStyle name="Normal 5 3 5 4" xfId="40"/>
    <cellStyle name="Normal 5 3 5 4 2" xfId="51"/>
    <cellStyle name="Normal 5 3 5 4 3" xfId="53"/>
    <cellStyle name="Normal 5 3 5 4 3 2" xfId="69"/>
    <cellStyle name="Normal 5 3 5 4 3 3" xfId="73"/>
    <cellStyle name="Normal 5 3 5 4 3 4" xfId="79"/>
    <cellStyle name="Normal 5 3 5 4 4" xfId="60"/>
    <cellStyle name="Normal 5 3 5 4 5" xfId="66"/>
    <cellStyle name="Normal 5 3 5 5" xfId="41"/>
    <cellStyle name="Normal 5 3 5 5 2" xfId="57"/>
    <cellStyle name="Normal 5 3 5 5 2 2" xfId="82"/>
    <cellStyle name="Normal 5 3 5 5 3" xfId="63"/>
    <cellStyle name="Normal 5 3 5 6" xfId="42"/>
    <cellStyle name="Normal 5 3 5 6 2" xfId="54"/>
    <cellStyle name="Normal 5 3 5 6 2 2" xfId="70"/>
    <cellStyle name="Normal 5 3 5 6 2 3" xfId="80"/>
    <cellStyle name="Normal 5 3 5 6 3" xfId="61"/>
    <cellStyle name="Normal 5 4" xfId="29"/>
    <cellStyle name="Normal 6" xfId="13"/>
    <cellStyle name="Normal 6 2" xfId="17"/>
    <cellStyle name="Normal 6 3" xfId="20"/>
    <cellStyle name="Normal 6 4" xfId="22"/>
    <cellStyle name="Normal 6 4 2" xfId="30"/>
    <cellStyle name="Normal 7" xfId="24"/>
    <cellStyle name="Normal 8" xfId="44"/>
    <cellStyle name="Normal 8 2" xfId="46"/>
    <cellStyle name="Normal 8 2 2" xfId="58"/>
    <cellStyle name="Normal 8 2 2 3" xfId="50"/>
    <cellStyle name="Normal 8 2 2 3 2" xfId="65"/>
    <cellStyle name="Normal 8 2 2 3 3" xfId="77"/>
    <cellStyle name="Normal 9" xfId="48"/>
    <cellStyle name="Normal 9 2" xfId="75"/>
    <cellStyle name="Normal 9 2 2" xfId="83"/>
    <cellStyle name="Percent 2" xfId="9"/>
    <cellStyle name="Percent 3" xfId="25"/>
    <cellStyle name="Percent 4" xfId="27"/>
    <cellStyle name="Percent 5" xfId="55"/>
    <cellStyle name="Percent 6" xfId="67"/>
    <cellStyle name="Percent 7" xfId="74"/>
    <cellStyle name="הערה 2" xfId="3"/>
    <cellStyle name="הערה 2 2" xfId="7"/>
    <cellStyle name="הערה 2_ריכוז אגפים" xfId="8"/>
  </cellStyles>
  <dxfs count="1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15</xdr:col>
      <xdr:colOff>541020</xdr:colOff>
      <xdr:row>45</xdr:row>
      <xdr:rowOff>129540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8001380" y="38100"/>
          <a:ext cx="9685020" cy="76352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807720</xdr:colOff>
      <xdr:row>0</xdr:row>
      <xdr:rowOff>45720</xdr:rowOff>
    </xdr:from>
    <xdr:to>
      <xdr:col>14</xdr:col>
      <xdr:colOff>876300</xdr:colOff>
      <xdr:row>2</xdr:row>
      <xdr:rowOff>152400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 rot="16200000">
          <a:off x="10229964300" y="-1219200"/>
          <a:ext cx="563880" cy="309372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7620</xdr:rowOff>
    </xdr:from>
    <xdr:to>
      <xdr:col>21</xdr:col>
      <xdr:colOff>7620</xdr:colOff>
      <xdr:row>2</xdr:row>
      <xdr:rowOff>167640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rot="16200000">
          <a:off x="10227682110" y="-392430"/>
          <a:ext cx="617220" cy="141732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2023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76200</xdr:rowOff>
    </xdr:from>
    <xdr:to>
      <xdr:col>14</xdr:col>
      <xdr:colOff>792480</xdr:colOff>
      <xdr:row>3</xdr:row>
      <xdr:rowOff>7620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 rot="16200000">
          <a:off x="10232151240" y="-1181100"/>
          <a:ext cx="563880" cy="307848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14</xdr:col>
      <xdr:colOff>777240</xdr:colOff>
      <xdr:row>0</xdr:row>
      <xdr:rowOff>0</xdr:rowOff>
    </xdr:from>
    <xdr:to>
      <xdr:col>20</xdr:col>
      <xdr:colOff>693420</xdr:colOff>
      <xdr:row>2</xdr:row>
      <xdr:rowOff>146858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rot="16200000">
          <a:off x="10229909921" y="-395201"/>
          <a:ext cx="604058" cy="13944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2023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21</xdr:row>
      <xdr:rowOff>30480</xdr:rowOff>
    </xdr:from>
    <xdr:to>
      <xdr:col>5</xdr:col>
      <xdr:colOff>106680</xdr:colOff>
      <xdr:row>36</xdr:row>
      <xdr:rowOff>121920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353420" y="4274820"/>
          <a:ext cx="4914900" cy="28117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22</xdr:row>
      <xdr:rowOff>1</xdr:rowOff>
    </xdr:from>
    <xdr:to>
      <xdr:col>4</xdr:col>
      <xdr:colOff>1988820</xdr:colOff>
      <xdr:row>35</xdr:row>
      <xdr:rowOff>160021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559160" y="4754881"/>
          <a:ext cx="4800600" cy="25298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658088</xdr:colOff>
      <xdr:row>0</xdr:row>
      <xdr:rowOff>0</xdr:rowOff>
    </xdr:from>
    <xdr:to>
      <xdr:col>14</xdr:col>
      <xdr:colOff>734292</xdr:colOff>
      <xdr:row>2</xdr:row>
      <xdr:rowOff>235526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 rot="16200000">
          <a:off x="9982490947" y="-1093819"/>
          <a:ext cx="639386" cy="2827024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13854</xdr:colOff>
      <xdr:row>0</xdr:row>
      <xdr:rowOff>0</xdr:rowOff>
    </xdr:from>
    <xdr:to>
      <xdr:col>20</xdr:col>
      <xdr:colOff>670560</xdr:colOff>
      <xdr:row>2</xdr:row>
      <xdr:rowOff>242454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 rot="16200000">
          <a:off x="9980425926" y="-306186"/>
          <a:ext cx="646314" cy="1258686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2023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22857</xdr:colOff>
      <xdr:row>0</xdr:row>
      <xdr:rowOff>0</xdr:rowOff>
    </xdr:from>
    <xdr:to>
      <xdr:col>19</xdr:col>
      <xdr:colOff>22860</xdr:colOff>
      <xdr:row>2</xdr:row>
      <xdr:rowOff>213356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 rot="16200000">
          <a:off x="9984924154" y="-1101094"/>
          <a:ext cx="617216" cy="2819403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30480</xdr:colOff>
      <xdr:row>0</xdr:row>
      <xdr:rowOff>0</xdr:rowOff>
    </xdr:from>
    <xdr:to>
      <xdr:col>20</xdr:col>
      <xdr:colOff>838200</xdr:colOff>
      <xdr:row>2</xdr:row>
      <xdr:rowOff>228600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 rot="16200000">
          <a:off x="9982878180" y="-304800"/>
          <a:ext cx="632460" cy="12420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2023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83820</xdr:rowOff>
    </xdr:from>
    <xdr:to>
      <xdr:col>20</xdr:col>
      <xdr:colOff>655320</xdr:colOff>
      <xdr:row>2</xdr:row>
      <xdr:rowOff>243840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 rot="16200000">
          <a:off x="8982307410" y="-240030"/>
          <a:ext cx="556260" cy="12039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2023</a:t>
          </a:r>
        </a:p>
      </xdr:txBody>
    </xdr:sp>
    <xdr:clientData/>
  </xdr:twoCellAnchor>
  <xdr:twoCellAnchor>
    <xdr:from>
      <xdr:col>6</xdr:col>
      <xdr:colOff>0</xdr:colOff>
      <xdr:row>0</xdr:row>
      <xdr:rowOff>91440</xdr:rowOff>
    </xdr:from>
    <xdr:to>
      <xdr:col>14</xdr:col>
      <xdr:colOff>655320</xdr:colOff>
      <xdr:row>3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 rot="16200000">
          <a:off x="8984185740" y="-891540"/>
          <a:ext cx="563880" cy="25298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 לפרויקט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 rot="16200000">
          <a:off x="10229674740" y="-967740"/>
          <a:ext cx="647700" cy="27508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114299</xdr:rowOff>
    </xdr:from>
    <xdr:to>
      <xdr:col>20</xdr:col>
      <xdr:colOff>695322</xdr:colOff>
      <xdr:row>2</xdr:row>
      <xdr:rowOff>247648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/>
      </xdr:nvSpPr>
      <xdr:spPr>
        <a:xfrm rot="16200000">
          <a:off x="10227679254" y="-239077"/>
          <a:ext cx="590549" cy="1297302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2023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76200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 rot="16200000">
          <a:off x="10228653660" y="-914400"/>
          <a:ext cx="685800" cy="26670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152400</xdr:rowOff>
    </xdr:from>
    <xdr:to>
      <xdr:col>21</xdr:col>
      <xdr:colOff>0</xdr:colOff>
      <xdr:row>2</xdr:row>
      <xdr:rowOff>289560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/>
      </xdr:nvSpPr>
      <xdr:spPr>
        <a:xfrm rot="16200000">
          <a:off x="10226691510" y="-217170"/>
          <a:ext cx="594360" cy="13335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2023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68580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 rot="16200000">
          <a:off x="9358068660" y="-922020"/>
          <a:ext cx="563880" cy="25450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76200</xdr:rowOff>
    </xdr:from>
    <xdr:to>
      <xdr:col>21</xdr:col>
      <xdr:colOff>0</xdr:colOff>
      <xdr:row>3</xdr:row>
      <xdr:rowOff>7620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 rot="16200000">
          <a:off x="9356159850" y="-278130"/>
          <a:ext cx="563880" cy="12725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25400</xdr:rowOff>
    </xdr:from>
    <xdr:to>
      <xdr:col>15</xdr:col>
      <xdr:colOff>385354</xdr:colOff>
      <xdr:row>35</xdr:row>
      <xdr:rowOff>63500</xdr:rowOff>
    </xdr:to>
    <xdr:pic>
      <xdr:nvPicPr>
        <xdr:cNvPr id="5" name="תמונה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8157046" y="190500"/>
          <a:ext cx="9211854" cy="5651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15240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 rot="16200000">
          <a:off x="9977330820" y="-937260"/>
          <a:ext cx="708660" cy="26136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21</xdr:col>
      <xdr:colOff>0</xdr:colOff>
      <xdr:row>2</xdr:row>
      <xdr:rowOff>251460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SpPr/>
      </xdr:nvSpPr>
      <xdr:spPr>
        <a:xfrm rot="16200000">
          <a:off x="9975406770" y="-262890"/>
          <a:ext cx="670560" cy="12725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2023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 rot="16200000">
          <a:off x="10228352670" y="-941070"/>
          <a:ext cx="571500" cy="26822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91440</xdr:rowOff>
    </xdr:from>
    <xdr:to>
      <xdr:col>21</xdr:col>
      <xdr:colOff>0</xdr:colOff>
      <xdr:row>2</xdr:row>
      <xdr:rowOff>205740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 rot="16200000">
          <a:off x="10226409570" y="-224790"/>
          <a:ext cx="571500" cy="12039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2023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 rot="16200000">
          <a:off x="10230375780" y="-838200"/>
          <a:ext cx="571500" cy="24765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91440</xdr:rowOff>
    </xdr:from>
    <xdr:to>
      <xdr:col>21</xdr:col>
      <xdr:colOff>0</xdr:colOff>
      <xdr:row>2</xdr:row>
      <xdr:rowOff>205740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 rot="16200000">
          <a:off x="10228554600" y="-205740"/>
          <a:ext cx="571500" cy="11658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2023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0</xdr:row>
      <xdr:rowOff>76200</xdr:rowOff>
    </xdr:from>
    <xdr:to>
      <xdr:col>13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 rot="16200000">
          <a:off x="10222130940" y="388620"/>
          <a:ext cx="624840" cy="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SpPr/>
      </xdr:nvSpPr>
      <xdr:spPr>
        <a:xfrm rot="16200000">
          <a:off x="10214522023" y="530629"/>
          <a:ext cx="770313" cy="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76200</xdr:rowOff>
    </xdr:from>
    <xdr:to>
      <xdr:col>14</xdr:col>
      <xdr:colOff>792480</xdr:colOff>
      <xdr:row>3</xdr:row>
      <xdr:rowOff>7620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 rot="16200000">
          <a:off x="10223529210" y="491490"/>
          <a:ext cx="830580" cy="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60957</xdr:colOff>
      <xdr:row>0</xdr:row>
      <xdr:rowOff>15240</xdr:rowOff>
    </xdr:from>
    <xdr:to>
      <xdr:col>18</xdr:col>
      <xdr:colOff>60960</xdr:colOff>
      <xdr:row>2</xdr:row>
      <xdr:rowOff>228596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 rot="16200000">
          <a:off x="9966689492" y="323848"/>
          <a:ext cx="617216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91440</xdr:rowOff>
    </xdr:from>
    <xdr:to>
      <xdr:col>14</xdr:col>
      <xdr:colOff>655320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SpPr/>
      </xdr:nvSpPr>
      <xdr:spPr>
        <a:xfrm rot="16200000">
          <a:off x="9340394070" y="445770"/>
          <a:ext cx="70866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 לפרויקט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 rot="16200000">
          <a:off x="10213234590" y="499110"/>
          <a:ext cx="83058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76200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 rot="16200000">
          <a:off x="10213226970" y="499110"/>
          <a:ext cx="84582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0</xdr:row>
      <xdr:rowOff>76200</xdr:rowOff>
    </xdr:from>
    <xdr:to>
      <xdr:col>13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 rot="16200000">
          <a:off x="10227765930" y="-1291590"/>
          <a:ext cx="624840" cy="336042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13</xdr:col>
      <xdr:colOff>0</xdr:colOff>
      <xdr:row>0</xdr:row>
      <xdr:rowOff>68580</xdr:rowOff>
    </xdr:from>
    <xdr:to>
      <xdr:col>19</xdr:col>
      <xdr:colOff>0</xdr:colOff>
      <xdr:row>2</xdr:row>
      <xdr:rowOff>243840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 rot="16200000">
          <a:off x="10225258950" y="-407670"/>
          <a:ext cx="662940" cy="161544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2023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68580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/>
      </xdr:nvSpPr>
      <xdr:spPr>
        <a:xfrm rot="16200000">
          <a:off x="9591012060" y="457200"/>
          <a:ext cx="77724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15240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SpPr/>
      </xdr:nvSpPr>
      <xdr:spPr>
        <a:xfrm rot="16200000">
          <a:off x="9964300620" y="464820"/>
          <a:ext cx="89916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SpPr/>
      </xdr:nvSpPr>
      <xdr:spPr>
        <a:xfrm rot="16200000">
          <a:off x="10213230780" y="533400"/>
          <a:ext cx="83820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30480</xdr:rowOff>
    </xdr:from>
    <xdr:to>
      <xdr:col>12</xdr:col>
      <xdr:colOff>464820</xdr:colOff>
      <xdr:row>26</xdr:row>
      <xdr:rowOff>83820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906380" y="198120"/>
          <a:ext cx="7780019" cy="42443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754380</xdr:colOff>
      <xdr:row>0</xdr:row>
      <xdr:rowOff>99060</xdr:rowOff>
    </xdr:from>
    <xdr:to>
      <xdr:col>12</xdr:col>
      <xdr:colOff>853440</xdr:colOff>
      <xdr:row>2</xdr:row>
      <xdr:rowOff>236220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rot="16200000">
          <a:off x="10228242180" y="-1226820"/>
          <a:ext cx="624840" cy="32766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13</xdr:col>
      <xdr:colOff>0</xdr:colOff>
      <xdr:row>0</xdr:row>
      <xdr:rowOff>68580</xdr:rowOff>
    </xdr:from>
    <xdr:to>
      <xdr:col>19</xdr:col>
      <xdr:colOff>0</xdr:colOff>
      <xdr:row>2</xdr:row>
      <xdr:rowOff>281940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 rot="16200000">
          <a:off x="10225830450" y="-316230"/>
          <a:ext cx="701040" cy="14706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14</xdr:col>
      <xdr:colOff>15240</xdr:colOff>
      <xdr:row>34</xdr:row>
      <xdr:rowOff>64496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136760" y="137160"/>
          <a:ext cx="8549640" cy="56270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17</xdr:row>
      <xdr:rowOff>0</xdr:rowOff>
    </xdr:from>
    <xdr:to>
      <xdr:col>4</xdr:col>
      <xdr:colOff>2042160</xdr:colOff>
      <xdr:row>37</xdr:row>
      <xdr:rowOff>121920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772520" y="3390900"/>
          <a:ext cx="4503420" cy="36499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0</xdr:row>
      <xdr:rowOff>165562</xdr:rowOff>
    </xdr:from>
    <xdr:to>
      <xdr:col>21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rot="16200000">
          <a:off x="9984648791" y="-164869"/>
          <a:ext cx="604058" cy="126492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2023</a:t>
          </a:r>
        </a:p>
      </xdr:txBody>
    </xdr:sp>
    <xdr:clientData/>
  </xdr:twoCellAnchor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 rot="16200000">
          <a:off x="9986669823" y="-900892"/>
          <a:ext cx="625533" cy="2718261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25</xdr:row>
      <xdr:rowOff>137160</xdr:rowOff>
    </xdr:from>
    <xdr:to>
      <xdr:col>4</xdr:col>
      <xdr:colOff>571500</xdr:colOff>
      <xdr:row>36</xdr:row>
      <xdr:rowOff>30480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6052680" y="5196840"/>
          <a:ext cx="3528060" cy="18211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4;&#1511;&#1510;&#1497;&#1489;%202022/&#1502;&#1497;&#1502;&#1493;&#1513;%20&#1514;&#1511;&#1510;&#1497;&#1489;%202022/&#1502;&#1497;&#1502;&#1493;&#1513;%20&#1489;&#1508;&#1493;&#1506;&#1500;%20%20&#1514;&#1511;&#1510;&#1497;&#1489;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4;&#1511;&#1510;&#1497;&#1489;%202022/&#1502;&#1497;&#1502;&#1493;&#1513;%20&#1514;&#1511;&#1510;&#1497;&#1489;%202022/&#1502;&#1497;&#1502;&#1493;&#1513;%20&#1489;&#1508;&#1493;&#1506;&#1500;%20%20&#1514;&#1511;&#1510;&#1497;&#1489;%2010.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\Gizbarut\&#1502;&#1513;&#1493;&#1514;&#1507;\&#1502;&#1495;&#1500;&#1511;&#1514;%20&#1495;&#1493;&#1494;&#1497;&#1501;%20&#1493;&#1514;&#1489;&#1512;\&#1502;&#1513;&#1493;&#1514;&#1507;%20&#1490;&#1488;&#1493;&#1500;&#1492;\&#1514;&#1511;&#1510;&#1497;&#1489;%20&#1508;&#1497;&#1514;&#1493;&#1495;%202022\&#1514;&#1511;&#1510;&#1497;&#1489;&#1497;&#1501;%20&#1504;&#1493;&#1505;&#1508;&#1497;&#1501;%20&#1514;&#1511;&#1510;&#1497;&#1489;%20&#1508;&#1497;&#1514;&#1493;&#1495;%202022\&#1514;&#1511;&#1510;&#1497;&#1489;%20&#1502;&#1506;&#1489;&#1512;%20&#1500;&#1514;&#1511;&#1510;&#1497;&#1489;%20&#1492;&#1513;&#1504;&#1514;&#1497;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4;&#1493;&#1499;&#1504;&#1497;&#1514;%20&#1506;&#1489;&#1493;&#1491;&#1492;%202023/&#1492;&#1499;&#1504;&#1514;%20&#1514;&#1511;&#1510;&#1497;&#1489;%202023/&#1502;&#1497;&#1502;&#1493;&#1513;%20&#1514;&#1511;&#1510;&#1497;&#1489;&#1497;&#1501;%202022/30.8.22%20&#1514;&#1511;&#1510;&#1497;&#1489;%20&#1502;&#1506;&#1489;&#1512;%20&#1500;&#1514;&#1511;&#1510;&#1497;&#1489;%20&#1492;&#1513;&#1504;&#1514;&#1497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תוכן ענינים"/>
      <sheetName val="מבוא"/>
      <sheetName val="תקציב 2021"/>
      <sheetName val="תקציב 2022 "/>
      <sheetName val="תקציב 2022 פרקים"/>
      <sheetName val="תקציב 2022  אגפים "/>
      <sheetName val="תקציב 2022  מקורות "/>
      <sheetName val="תקציב 2022 קרנות הרשות"/>
      <sheetName val="תקציב 2022 מקורות אחרים"/>
      <sheetName val="תרשים אגפים"/>
      <sheetName val="ריכוז אגפים"/>
      <sheetName val="תרשים פרקים"/>
      <sheetName val="ריכוז פרקים"/>
      <sheetName val="פרוט מקורות אחרים"/>
      <sheetName val="תרשים מקורות מימון"/>
      <sheetName val="הנדסה 2022"/>
      <sheetName val="הנדסה 2022 "/>
      <sheetName val="תקציב הנדסה 2022 "/>
      <sheetName val="תקציב הנדסה 2022 פרקים"/>
      <sheetName val="החברה לפיתוח 2022"/>
      <sheetName val="החב. לפיתוח 2022"/>
      <sheetName val="תקציב החברה לפיתוח 2022"/>
      <sheetName val="תקציב החברה לפיתוח 2022 תאור"/>
      <sheetName val="תקציב החברה לפיתוח 2022 פרקים"/>
      <sheetName val="מינהל תפעול 2022"/>
      <sheetName val="מינהל תפעול  2022 "/>
      <sheetName val="תקציב מינהל תפעול 2022"/>
      <sheetName val="תקציב מינהל תפעול 2022 תאור"/>
      <sheetName val="תקציב מינהל תפעול 2022 פרקים"/>
      <sheetName val="אגף חינוך 2022"/>
      <sheetName val="תקציב אגף חינוך 2022"/>
      <sheetName val="תקציב אגף חינוך 2022 פרקים"/>
      <sheetName val="אגף תנוס 2021"/>
      <sheetName val="תקציב אגף תנוס 2022 "/>
      <sheetName val="תקציב אגף תנוס 2022 פרקים"/>
      <sheetName val="החברה לתירות 2022"/>
      <sheetName val="תקציב החברה לתירות 2022 "/>
      <sheetName val="תקציב החברה לתירות 2022  פרקים"/>
      <sheetName val="אגף תקשוב ומע. מידע 2022"/>
      <sheetName val="אגף תקשוב ומע. מידע  2022 "/>
      <sheetName val="תקציב אגף המיחשוב 2022"/>
      <sheetName val="תקציב אגף המיחשוב 2022 פרקים"/>
      <sheetName val="אגף נכסים וביטוח 2022"/>
      <sheetName val="תקציב אגף נכסים וביטוח 2022 "/>
      <sheetName val="תקציב אגף נכסים ביטוח 2022 פרק"/>
      <sheetName val="מינהל כללי 2022"/>
      <sheetName val="תקציב מינהל כללי 2022  "/>
      <sheetName val="תקציב מינהל כללי 2022 פרקים"/>
      <sheetName val="תקציב 2021 - ביצוע"/>
      <sheetName val="ריכוז אגפים 2021"/>
      <sheetName val="תקציב הנדסה 2021"/>
      <sheetName val="תקציב החברה לפיתוח 2021 "/>
      <sheetName val="תקציב אגף ת.ב.ל 2021  "/>
      <sheetName val="תקציב אגף בטחון פיקוח סד&quot;צ 2021"/>
      <sheetName val="תקציב אגף חינוך 2021 "/>
      <sheetName val="תקציב אגף תנוס 2021 "/>
      <sheetName val="תקציב אגף שאיפה  2021 "/>
      <sheetName val="תקציב רשות החופים 2021 "/>
      <sheetName val="תקציב החברה לתירות 2021 "/>
      <sheetName val="תקציב אגף תקשוב 2021 "/>
      <sheetName val="תקציב אגף נכסים וביטוח 2021"/>
      <sheetName val="תקציב מינהל כללי 2021  "/>
      <sheetName val="ריכוז תקציב מעבר לתוכנית 2021"/>
      <sheetName val="פרויקטים החב. לפיתוח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9">
          <cell r="AI29">
            <v>20000000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תוכן ענינים"/>
      <sheetName val="מבוא"/>
      <sheetName val="תקציב 2021"/>
      <sheetName val="תקציב 2022 "/>
      <sheetName val="תקציב 2022 פרקים"/>
      <sheetName val="תקציב 2022  אגפים "/>
      <sheetName val="תקציב 2022  מקורות "/>
      <sheetName val="תקציב 2022 קרנות הרשות"/>
      <sheetName val="תקציב 2022 מקורות אחרים"/>
      <sheetName val="תרשים אגפים"/>
      <sheetName val="ריכוז אגפים"/>
      <sheetName val="תרשים פרקים"/>
      <sheetName val="ריכוז פרקים"/>
      <sheetName val="פרוט מקורות אחרים"/>
      <sheetName val="תרשים מקורות מימון"/>
      <sheetName val="הנדסה 2022"/>
      <sheetName val="הנדסה 2022 "/>
      <sheetName val="תקציב הנדסה 2022 "/>
      <sheetName val="תקציב הנדסה 2022 פרקים"/>
      <sheetName val="החברה לפיתוח 2022"/>
      <sheetName val="החב. לפיתוח 2022"/>
      <sheetName val="תקציב החברה לפיתוח 2022"/>
      <sheetName val="תקציב החברה לפיתוח 2022 תאור"/>
      <sheetName val="תקציב החברה לפיתוח 2022 פרקים"/>
      <sheetName val="מינהל תפעול 2022"/>
      <sheetName val="מינהל תפעול  2022 "/>
      <sheetName val="תקציב מינהל תפעול 2022"/>
      <sheetName val="תקציב מינהל תפעול 2022 תאור"/>
      <sheetName val="תקציב מינהל תפעול 2022 פרקים"/>
      <sheetName val="אגף חינוך 2022"/>
      <sheetName val="תקציב אגף חינוך 2022"/>
      <sheetName val="תקציב אגף חינוך 2022 פרקים"/>
      <sheetName val="אגף תנוס 2021"/>
      <sheetName val="תקציב אגף תנוס 2022 "/>
      <sheetName val="תקציב אגף תנוס 2022 פרקים"/>
      <sheetName val="החברה לתירות 2022"/>
      <sheetName val="תקציב החברה לתירות 2022 "/>
      <sheetName val="תקציב החברה לתירות 2022  פרקים"/>
      <sheetName val="אגף תקשוב ומע. מידע 2022"/>
      <sheetName val="אגף תקשוב ומע. מידע  2022 "/>
      <sheetName val="תקציב אגף המיחשוב 2022"/>
      <sheetName val="תקציב אגף המיחשוב 2022 פרקים"/>
      <sheetName val="אגף נכסים וביטוח 2022"/>
      <sheetName val="תקציב אגף נכסים וביטוח 2022 "/>
      <sheetName val="תקציב אגף נכסים ביטוח 2022 פרק"/>
      <sheetName val="מינהל כללי 2022"/>
      <sheetName val="תקציב מינהל כללי 2022  "/>
      <sheetName val="תקציב מינהל כללי 2022 פרקים"/>
      <sheetName val="תקציב 2021 - ביצוע"/>
      <sheetName val="ריכוז אגפים 2021"/>
      <sheetName val="תקציב הנדסה 2021"/>
      <sheetName val="תקציב החברה לפיתוח 2021 "/>
      <sheetName val="תקציב אגף ת.ב.ל 2021  "/>
      <sheetName val="תקציב אגף בטחון פיקוח סד&quot;צ 2021"/>
      <sheetName val="תקציב אגף חינוך 2021 "/>
      <sheetName val="תקציב אגף תנוס 2021 "/>
      <sheetName val="תקציב אגף שאיפה  2021 "/>
      <sheetName val="תקציב רשות החופים 2021 "/>
      <sheetName val="תקציב החברה לתירות 2021 "/>
      <sheetName val="תקציב אגף תקשוב 2021 "/>
      <sheetName val="תקציב אגף נכסים וביטוח 2021"/>
      <sheetName val="תקציב מינהל כללי 2021  "/>
      <sheetName val="ריכוז תקציב מעבר לתוכנית 2021"/>
      <sheetName val="פרויקטים החב. לפיתוח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0">
          <cell r="AM130">
            <v>63905023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וע. 12.2022"/>
      <sheetName val="וע. 11.2022  "/>
      <sheetName val="אוקטובר 2022 מצטבר כולל מימוש"/>
      <sheetName val="וע. 10.2022  "/>
      <sheetName val="אוגוסט 2022  מצטבר מימוש10.22 "/>
      <sheetName val="אוגוסט 2022  מצטבר מימוש 9"/>
      <sheetName val="אוגוסט 2022  מצטבר  כולל מימו "/>
      <sheetName val="וע. 8.2022  "/>
      <sheetName val="וע. 7.2022  תוספת"/>
      <sheetName val="וע. 7.2022 "/>
      <sheetName val="יולי 2022  מצטבר  כולל מימוש"/>
      <sheetName val="יוני 2022  מצטבר  כולל מימוש"/>
      <sheetName val="וע. 6.2022  "/>
      <sheetName val="מאי 2022  מצטבר-מעודכן"/>
      <sheetName val="מאי 2022  מצטבר  מיון תנוס"/>
      <sheetName val="מאי 2022  מצטבר  מיון חינוך"/>
      <sheetName val="מאי 2022  מצטבר "/>
      <sheetName val="וע. 5.2022-מעודכן"/>
      <sheetName val="וע. 5.2022  "/>
      <sheetName val="וע. 5.2022  לאחר דיון מנכל"/>
      <sheetName val="וע. 5.2022  לדיון מנכל"/>
      <sheetName val="אפריל 2022  מצטבר"/>
      <sheetName val="וע. 4.2022 סופי"/>
      <sheetName val="וע. 4.2022"/>
      <sheetName val="4.2022 לאחר מנכל"/>
      <sheetName val="אפריל 2022 לדיון מנכל"/>
      <sheetName val="מרץ 2022  מצטבר"/>
      <sheetName val="מרץ 2022  "/>
      <sheetName val="פברואר 2022  לא מעודכן"/>
      <sheetName val="פברואר 2022 "/>
      <sheetName val="ינואר 2022 מימוש"/>
      <sheetName val="ינואר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6">
          <cell r="C46">
            <v>8</v>
          </cell>
          <cell r="F46">
            <v>54845553</v>
          </cell>
          <cell r="G46">
            <v>52680553</v>
          </cell>
          <cell r="H46">
            <v>2165000</v>
          </cell>
          <cell r="I46">
            <v>22600000</v>
          </cell>
          <cell r="J46">
            <v>18709811.280000001</v>
          </cell>
          <cell r="K46">
            <v>0</v>
          </cell>
          <cell r="L46">
            <v>0</v>
          </cell>
          <cell r="M46">
            <v>0</v>
          </cell>
          <cell r="N46">
            <v>18709811.280000001</v>
          </cell>
          <cell r="O46">
            <v>19585741.5</v>
          </cell>
          <cell r="P46">
            <v>16550000.220000001</v>
          </cell>
          <cell r="Q46">
            <v>3890188.7200000007</v>
          </cell>
          <cell r="R46">
            <v>15695552.779999999</v>
          </cell>
          <cell r="S46">
            <v>14030553</v>
          </cell>
          <cell r="T46">
            <v>1664999.7799999993</v>
          </cell>
          <cell r="U46">
            <v>447430.77999999933</v>
          </cell>
          <cell r="V46">
            <v>400000</v>
          </cell>
          <cell r="W46">
            <v>817569</v>
          </cell>
        </row>
      </sheetData>
      <sheetData sheetId="8">
        <row r="46">
          <cell r="C46">
            <v>2</v>
          </cell>
          <cell r="F46">
            <v>3400000</v>
          </cell>
          <cell r="G46">
            <v>3900000</v>
          </cell>
          <cell r="H46">
            <v>-500000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3400000</v>
          </cell>
          <cell r="P46">
            <v>0</v>
          </cell>
          <cell r="Q46">
            <v>0</v>
          </cell>
          <cell r="R46">
            <v>3400000</v>
          </cell>
          <cell r="S46">
            <v>3900000</v>
          </cell>
          <cell r="T46">
            <v>-500000</v>
          </cell>
          <cell r="U46">
            <v>-500000</v>
          </cell>
          <cell r="V46">
            <v>0</v>
          </cell>
          <cell r="W46">
            <v>0</v>
          </cell>
        </row>
      </sheetData>
      <sheetData sheetId="9">
        <row r="49">
          <cell r="C49">
            <v>8</v>
          </cell>
          <cell r="F49">
            <v>350220553</v>
          </cell>
          <cell r="G49">
            <v>348870000</v>
          </cell>
          <cell r="H49">
            <v>1350553</v>
          </cell>
          <cell r="I49">
            <v>102518088</v>
          </cell>
          <cell r="J49">
            <v>98665023.939999998</v>
          </cell>
          <cell r="K49">
            <v>0</v>
          </cell>
          <cell r="L49">
            <v>0</v>
          </cell>
          <cell r="M49">
            <v>0</v>
          </cell>
          <cell r="N49">
            <v>98665023.939999998</v>
          </cell>
          <cell r="O49">
            <v>147773617.21000001</v>
          </cell>
          <cell r="P49">
            <v>103781911.84999998</v>
          </cell>
          <cell r="Q49">
            <v>3853064.0599999977</v>
          </cell>
          <cell r="R49">
            <v>143920553.15000001</v>
          </cell>
          <cell r="S49">
            <v>122060000</v>
          </cell>
          <cell r="T49">
            <v>21860553.149999999</v>
          </cell>
          <cell r="U49">
            <v>21320000.149999999</v>
          </cell>
          <cell r="V49">
            <v>108611</v>
          </cell>
          <cell r="W49">
            <v>431942</v>
          </cell>
        </row>
      </sheetData>
      <sheetData sheetId="10"/>
      <sheetData sheetId="11"/>
      <sheetData sheetId="12">
        <row r="55">
          <cell r="C55">
            <v>18</v>
          </cell>
          <cell r="F55">
            <v>550608992</v>
          </cell>
          <cell r="G55">
            <v>541808992</v>
          </cell>
          <cell r="H55">
            <v>8800000</v>
          </cell>
          <cell r="I55">
            <v>225113946</v>
          </cell>
          <cell r="J55">
            <v>196936230.85000002</v>
          </cell>
          <cell r="K55">
            <v>0</v>
          </cell>
          <cell r="L55">
            <v>0</v>
          </cell>
          <cell r="M55">
            <v>0</v>
          </cell>
          <cell r="N55">
            <v>196936230.85000002</v>
          </cell>
          <cell r="O55">
            <v>167933716.06999999</v>
          </cell>
          <cell r="P55">
            <v>185739045.07999998</v>
          </cell>
          <cell r="Q55">
            <v>28177715.149999995</v>
          </cell>
          <cell r="R55">
            <v>139756000.92000002</v>
          </cell>
          <cell r="S55">
            <v>133916000</v>
          </cell>
          <cell r="T55">
            <v>5840000.9200000009</v>
          </cell>
          <cell r="U55">
            <v>18635582.920000002</v>
          </cell>
          <cell r="V55">
            <v>1050000</v>
          </cell>
          <cell r="W55">
            <v>-13845582</v>
          </cell>
        </row>
      </sheetData>
      <sheetData sheetId="13"/>
      <sheetData sheetId="14"/>
      <sheetData sheetId="15"/>
      <sheetData sheetId="16"/>
      <sheetData sheetId="17">
        <row r="49">
          <cell r="F49">
            <v>174270000</v>
          </cell>
          <cell r="G49">
            <v>161200000</v>
          </cell>
          <cell r="H49">
            <v>13070000</v>
          </cell>
          <cell r="I49">
            <v>22081894</v>
          </cell>
          <cell r="J49">
            <v>17795670</v>
          </cell>
          <cell r="K49">
            <v>0</v>
          </cell>
          <cell r="L49">
            <v>0</v>
          </cell>
          <cell r="M49">
            <v>0</v>
          </cell>
          <cell r="N49">
            <v>17795670</v>
          </cell>
          <cell r="O49">
            <v>46225841</v>
          </cell>
          <cell r="P49">
            <v>110248489</v>
          </cell>
          <cell r="Q49">
            <v>4286224</v>
          </cell>
          <cell r="R49">
            <v>41939617</v>
          </cell>
          <cell r="S49">
            <v>19190227</v>
          </cell>
          <cell r="T49">
            <v>22749390</v>
          </cell>
          <cell r="U49">
            <v>138216</v>
          </cell>
          <cell r="V49">
            <v>3793218</v>
          </cell>
          <cell r="W49">
            <v>18817956</v>
          </cell>
        </row>
      </sheetData>
      <sheetData sheetId="18">
        <row r="49">
          <cell r="C49">
            <v>9</v>
          </cell>
        </row>
      </sheetData>
      <sheetData sheetId="19"/>
      <sheetData sheetId="20"/>
      <sheetData sheetId="21"/>
      <sheetData sheetId="22">
        <row r="53">
          <cell r="C53">
            <v>8</v>
          </cell>
          <cell r="F53">
            <v>44781000</v>
          </cell>
          <cell r="G53">
            <v>32181000</v>
          </cell>
          <cell r="H53">
            <v>12600000</v>
          </cell>
          <cell r="I53">
            <v>8214000</v>
          </cell>
          <cell r="J53">
            <v>7741479</v>
          </cell>
          <cell r="K53">
            <v>0</v>
          </cell>
          <cell r="L53">
            <v>0</v>
          </cell>
          <cell r="M53">
            <v>0</v>
          </cell>
          <cell r="N53">
            <v>7741479</v>
          </cell>
          <cell r="O53">
            <v>22642226</v>
          </cell>
          <cell r="P53">
            <v>14397295</v>
          </cell>
          <cell r="Q53">
            <v>472521</v>
          </cell>
          <cell r="R53">
            <v>22169705</v>
          </cell>
          <cell r="S53">
            <v>8700000</v>
          </cell>
          <cell r="T53">
            <v>13469705</v>
          </cell>
          <cell r="U53">
            <v>4607448</v>
          </cell>
          <cell r="V53">
            <v>8250000</v>
          </cell>
          <cell r="W53">
            <v>612257</v>
          </cell>
        </row>
      </sheetData>
      <sheetData sheetId="23"/>
      <sheetData sheetId="24"/>
      <sheetData sheetId="25"/>
      <sheetData sheetId="26"/>
      <sheetData sheetId="27">
        <row r="52">
          <cell r="C52">
            <v>10</v>
          </cell>
          <cell r="F52">
            <v>138968521</v>
          </cell>
          <cell r="G52">
            <v>135698521</v>
          </cell>
          <cell r="H52">
            <v>3270000</v>
          </cell>
          <cell r="I52">
            <v>33922857</v>
          </cell>
          <cell r="J52">
            <v>19864513.630000003</v>
          </cell>
          <cell r="K52">
            <v>0</v>
          </cell>
          <cell r="L52">
            <v>0</v>
          </cell>
          <cell r="M52">
            <v>0</v>
          </cell>
          <cell r="N52">
            <v>19864513.630000003</v>
          </cell>
          <cell r="O52">
            <v>27582762.370000001</v>
          </cell>
          <cell r="P52">
            <v>91521245</v>
          </cell>
          <cell r="Q52">
            <v>14058343.369999999</v>
          </cell>
          <cell r="R52">
            <v>13524419.000000002</v>
          </cell>
          <cell r="S52">
            <v>10925664</v>
          </cell>
          <cell r="T52">
            <v>2598755.0000000009</v>
          </cell>
          <cell r="U52">
            <v>351812.00000000116</v>
          </cell>
          <cell r="V52">
            <v>30000</v>
          </cell>
          <cell r="W52">
            <v>2216943</v>
          </cell>
        </row>
      </sheetData>
      <sheetData sheetId="28"/>
      <sheetData sheetId="29">
        <row r="45">
          <cell r="C45">
            <v>2</v>
          </cell>
          <cell r="F45">
            <v>16460000</v>
          </cell>
          <cell r="G45">
            <v>16000000</v>
          </cell>
          <cell r="H45">
            <v>460000</v>
          </cell>
          <cell r="I45">
            <v>450000</v>
          </cell>
          <cell r="J45">
            <v>118159</v>
          </cell>
          <cell r="K45">
            <v>0</v>
          </cell>
          <cell r="L45">
            <v>11810</v>
          </cell>
          <cell r="M45">
            <v>11810</v>
          </cell>
          <cell r="N45">
            <v>129969</v>
          </cell>
          <cell r="O45">
            <v>8107631</v>
          </cell>
          <cell r="P45">
            <v>8222400</v>
          </cell>
          <cell r="Q45">
            <v>320031</v>
          </cell>
          <cell r="R45">
            <v>7787600</v>
          </cell>
          <cell r="S45">
            <v>7000000</v>
          </cell>
          <cell r="T45">
            <v>787600</v>
          </cell>
          <cell r="U45">
            <v>240000</v>
          </cell>
          <cell r="V45">
            <v>220000</v>
          </cell>
          <cell r="W45">
            <v>327600</v>
          </cell>
        </row>
      </sheetData>
      <sheetData sheetId="30"/>
      <sheetData sheetId="31">
        <row r="45">
          <cell r="C45">
            <v>2</v>
          </cell>
          <cell r="F45">
            <v>3850000</v>
          </cell>
          <cell r="G45">
            <v>90000</v>
          </cell>
          <cell r="H45">
            <v>3760000</v>
          </cell>
          <cell r="I45">
            <v>90000</v>
          </cell>
          <cell r="J45">
            <v>0</v>
          </cell>
          <cell r="K45">
            <v>0</v>
          </cell>
          <cell r="L45">
            <v>9276</v>
          </cell>
          <cell r="M45">
            <v>9276</v>
          </cell>
          <cell r="N45">
            <v>9276</v>
          </cell>
          <cell r="O45">
            <v>3840724</v>
          </cell>
          <cell r="P45">
            <v>0</v>
          </cell>
          <cell r="Q45">
            <v>80724</v>
          </cell>
          <cell r="R45">
            <v>3760000</v>
          </cell>
          <cell r="S45">
            <v>0</v>
          </cell>
          <cell r="T45">
            <v>3760000</v>
          </cell>
          <cell r="U45">
            <v>0</v>
          </cell>
          <cell r="V45">
            <v>230000</v>
          </cell>
          <cell r="W45">
            <v>3530000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וגוסט 2022  מצט' מימוש ווע.10"/>
      <sheetName val="וע. 10.2022  "/>
      <sheetName val="אוגוסט 2022  מצטבר מימוש10.22 "/>
      <sheetName val="אוגוסט 2022  מצטבר  ומימוש מצטב"/>
      <sheetName val="אוגוסט 2022  מצטבר  כולל מימו "/>
      <sheetName val="וע. 8.2022  "/>
      <sheetName val="וע. 7.2022  תוספת"/>
      <sheetName val="וע. 7.2022 "/>
      <sheetName val="יולי 2022  מצטבר  כולל מימוש"/>
      <sheetName val="יוני 2022  מצטבר  כולל מימוש"/>
      <sheetName val="וע. 6.2022  "/>
      <sheetName val="מאי 2022  מצטבר-מעודכן"/>
      <sheetName val="מאי 2022  מצטבר  מיון תנוס"/>
      <sheetName val="מאי 2022  מצטבר  מיון חינוך"/>
      <sheetName val="מאי 2022  מצטבר "/>
      <sheetName val="וע. 5.2022-מעודכן"/>
      <sheetName val="וע. 5.2022  "/>
      <sheetName val="וע. 5.2022  לאחר דיון מנכל"/>
      <sheetName val="וע. 5.2022  לדיון מנכל"/>
      <sheetName val="אפריל 2022  מצטבר"/>
      <sheetName val="וע. 4.2022 סופי"/>
      <sheetName val="וע. 4.2022"/>
      <sheetName val="4.2022 לאחר מנכל"/>
      <sheetName val="אפריל 2022 לדיון מנכל"/>
      <sheetName val="מרץ 2022  מצטבר"/>
      <sheetName val="מרץ 2022  "/>
      <sheetName val="פברואר 2022  לא מעודכן"/>
      <sheetName val="פברואר 2022 "/>
      <sheetName val="ינואר 2022 מימוש"/>
      <sheetName val="ינואר 2022"/>
    </sheetNames>
    <sheetDataSet>
      <sheetData sheetId="0"/>
      <sheetData sheetId="1">
        <row r="46">
          <cell r="C46">
            <v>2</v>
          </cell>
          <cell r="F46">
            <v>5414423</v>
          </cell>
          <cell r="G46">
            <v>5430000</v>
          </cell>
          <cell r="H46">
            <v>-15577</v>
          </cell>
          <cell r="I46">
            <v>890000</v>
          </cell>
          <cell r="J46">
            <v>746428.49</v>
          </cell>
          <cell r="K46">
            <v>0</v>
          </cell>
          <cell r="L46">
            <v>0</v>
          </cell>
          <cell r="M46">
            <v>0</v>
          </cell>
          <cell r="N46">
            <v>746428.49</v>
          </cell>
          <cell r="O46">
            <v>4667995</v>
          </cell>
          <cell r="P46">
            <v>-0.49000000022351742</v>
          </cell>
          <cell r="Q46">
            <v>143571.51</v>
          </cell>
          <cell r="R46">
            <v>4524423.49</v>
          </cell>
          <cell r="S46">
            <v>2540000</v>
          </cell>
          <cell r="T46">
            <v>1984423.4900000002</v>
          </cell>
          <cell r="U46">
            <v>2000000.4900000002</v>
          </cell>
          <cell r="V46">
            <v>-1358</v>
          </cell>
          <cell r="W46">
            <v>-14219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3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8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1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11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12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13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14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1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topLeftCell="D22" workbookViewId="0">
      <selection activeCell="M31" sqref="M31"/>
    </sheetView>
  </sheetViews>
  <sheetFormatPr defaultRowHeight="13.2"/>
  <sheetData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3"/>
  <sheetViews>
    <sheetView showZeros="0" rightToLeft="1" tabSelected="1" workbookViewId="0">
      <selection activeCell="M31" sqref="M31"/>
    </sheetView>
  </sheetViews>
  <sheetFormatPr defaultColWidth="9.109375" defaultRowHeight="13.8"/>
  <cols>
    <col min="1" max="3" width="4.109375" style="81" customWidth="1"/>
    <col min="4" max="4" width="33" style="81" customWidth="1"/>
    <col min="5" max="9" width="12.109375" style="81" customWidth="1"/>
    <col min="10" max="10" width="7.88671875" style="81" customWidth="1"/>
    <col min="11" max="16384" width="9.109375" style="81"/>
  </cols>
  <sheetData>
    <row r="3" spans="1:17" ht="21">
      <c r="E3" s="82"/>
    </row>
    <row r="4" spans="1:17" ht="15.6">
      <c r="A4" s="83">
        <v>3.7</v>
      </c>
      <c r="C4" s="83" t="s">
        <v>185</v>
      </c>
      <c r="D4" s="83"/>
      <c r="E4" s="83"/>
      <c r="F4" s="83"/>
      <c r="G4" s="83"/>
      <c r="H4" s="83"/>
      <c r="I4" s="83"/>
      <c r="J4" s="83"/>
      <c r="K4" s="83"/>
      <c r="L4" s="83"/>
    </row>
    <row r="5" spans="1:17" ht="16.2" thickBot="1"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7" ht="20.100000000000001" customHeight="1">
      <c r="A6" s="83"/>
      <c r="C6" s="102" t="s">
        <v>143</v>
      </c>
      <c r="D6" s="103"/>
      <c r="E6" s="104"/>
      <c r="F6" s="105" t="s">
        <v>949</v>
      </c>
      <c r="G6" s="126" t="s">
        <v>769</v>
      </c>
      <c r="M6" s="83"/>
      <c r="N6" s="83"/>
      <c r="O6" s="83"/>
    </row>
    <row r="7" spans="1:17" ht="20.100000000000001" customHeight="1">
      <c r="A7" s="83"/>
      <c r="C7" s="107" t="s">
        <v>186</v>
      </c>
      <c r="D7" s="108"/>
      <c r="E7" s="109"/>
      <c r="F7" s="110">
        <v>1340</v>
      </c>
      <c r="G7" s="111">
        <v>2846</v>
      </c>
      <c r="M7" s="83"/>
      <c r="N7" s="83"/>
      <c r="O7" s="83"/>
    </row>
    <row r="8" spans="1:17" ht="20.100000000000001" customHeight="1">
      <c r="A8" s="83"/>
      <c r="C8" s="107" t="s">
        <v>187</v>
      </c>
      <c r="D8" s="113"/>
      <c r="E8" s="109"/>
      <c r="F8" s="110">
        <v>77104.116999999998</v>
      </c>
      <c r="G8" s="111">
        <v>135303</v>
      </c>
      <c r="M8" s="83"/>
      <c r="N8" s="83"/>
      <c r="O8" s="83"/>
    </row>
    <row r="9" spans="1:17" ht="20.100000000000001" hidden="1" customHeight="1">
      <c r="A9" s="83"/>
      <c r="C9" s="107" t="s">
        <v>188</v>
      </c>
      <c r="D9" s="108"/>
      <c r="E9" s="109"/>
      <c r="F9" s="110"/>
      <c r="G9" s="111"/>
      <c r="M9" s="83"/>
      <c r="N9" s="83"/>
      <c r="O9" s="83"/>
    </row>
    <row r="10" spans="1:17" ht="20.100000000000001" customHeight="1">
      <c r="A10" s="83"/>
      <c r="C10" s="107" t="s">
        <v>189</v>
      </c>
      <c r="D10" s="108"/>
      <c r="E10" s="109"/>
      <c r="F10" s="110">
        <v>626.94299999999998</v>
      </c>
      <c r="G10" s="111">
        <v>3908.5</v>
      </c>
      <c r="M10" s="83"/>
      <c r="N10" s="83"/>
      <c r="O10" s="83"/>
    </row>
    <row r="11" spans="1:17" ht="20.100000000000001" customHeight="1">
      <c r="A11" s="83"/>
      <c r="C11" s="107" t="s">
        <v>172</v>
      </c>
      <c r="D11" s="127"/>
      <c r="E11" s="128"/>
      <c r="F11" s="110">
        <v>6413.8590000000004</v>
      </c>
      <c r="G11" s="111">
        <v>2141.5</v>
      </c>
      <c r="L11" s="117"/>
      <c r="M11" s="83"/>
      <c r="N11" s="83"/>
      <c r="O11" s="83"/>
    </row>
    <row r="12" spans="1:17" ht="20.100000000000001" customHeight="1">
      <c r="A12" s="83"/>
      <c r="C12" s="107" t="s">
        <v>190</v>
      </c>
      <c r="D12" s="108"/>
      <c r="E12" s="109"/>
      <c r="F12" s="110">
        <v>4000</v>
      </c>
      <c r="G12" s="111">
        <v>13000</v>
      </c>
      <c r="M12" s="83"/>
      <c r="N12" s="83"/>
      <c r="O12" s="83"/>
    </row>
    <row r="13" spans="1:17" ht="20.100000000000001" customHeight="1">
      <c r="A13" s="83"/>
      <c r="C13" s="107" t="s">
        <v>191</v>
      </c>
      <c r="D13" s="113"/>
      <c r="E13" s="109"/>
      <c r="F13" s="110">
        <v>6917.2839999999997</v>
      </c>
      <c r="G13" s="111">
        <v>11000</v>
      </c>
      <c r="M13" s="83"/>
      <c r="N13" s="83"/>
      <c r="O13" s="83"/>
    </row>
    <row r="14" spans="1:17" ht="20.100000000000001" customHeight="1" thickBot="1">
      <c r="A14" s="83"/>
      <c r="C14" s="118" t="s">
        <v>88</v>
      </c>
      <c r="D14" s="119"/>
      <c r="E14" s="120"/>
      <c r="F14" s="121">
        <v>96402.202999999994</v>
      </c>
      <c r="G14" s="129">
        <v>168199</v>
      </c>
      <c r="M14" s="83"/>
      <c r="N14" s="83"/>
      <c r="O14" s="83"/>
    </row>
    <row r="15" spans="1:17" ht="15.6">
      <c r="C15" s="83"/>
      <c r="D15" s="83"/>
      <c r="E15" s="83"/>
      <c r="F15" s="83"/>
      <c r="G15" s="83"/>
      <c r="H15" s="83"/>
      <c r="I15" s="83"/>
      <c r="J15" s="83"/>
      <c r="K15" s="83"/>
      <c r="L15" s="261"/>
    </row>
    <row r="16" spans="1:17" ht="15.6">
      <c r="B16" s="81" t="s">
        <v>192</v>
      </c>
      <c r="C16" s="83" t="s">
        <v>193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 ht="15.6">
      <c r="C17" s="83" t="s">
        <v>194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 ht="15.6"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 ht="15.6">
      <c r="A19" s="83"/>
      <c r="B19" s="83"/>
      <c r="C19" s="183" t="s">
        <v>382</v>
      </c>
      <c r="D19" s="183"/>
      <c r="E19" s="83"/>
      <c r="F19" s="83"/>
      <c r="G19" s="87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 ht="15.6">
      <c r="A20" s="83"/>
      <c r="B20" s="83"/>
      <c r="C20" s="183"/>
      <c r="D20" s="183"/>
      <c r="E20" s="83"/>
      <c r="F20" s="83"/>
      <c r="G20" s="87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 ht="15.6">
      <c r="A21" s="83">
        <v>3.8</v>
      </c>
      <c r="B21" s="84" t="s">
        <v>195</v>
      </c>
    </row>
    <row r="22" spans="1:17" ht="20.100000000000001" customHeight="1">
      <c r="B22" s="83"/>
      <c r="C22" s="83"/>
      <c r="D22" s="83"/>
      <c r="E22" s="34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</row>
    <row r="23" spans="1:17" ht="20.100000000000001" customHeight="1">
      <c r="B23" s="83" t="s">
        <v>196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</row>
    <row r="24" spans="1:17" ht="20.100000000000001" customHeight="1">
      <c r="B24" s="83" t="s">
        <v>197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7" ht="20.100000000000001" customHeight="1">
      <c r="B25" s="83" t="s">
        <v>1271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</row>
    <row r="26" spans="1:17" ht="20.100000000000001" customHeight="1"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</row>
    <row r="27" spans="1:17" ht="20.100000000000001" customHeight="1">
      <c r="B27" s="425" t="s">
        <v>1372</v>
      </c>
      <c r="C27" s="425"/>
      <c r="D27" s="425"/>
      <c r="E27" s="1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  <row r="28" spans="1:17" ht="15.6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7" ht="15.6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7" ht="15.6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ht="15.6">
      <c r="A31" s="89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ht="15.6"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5:17" ht="15.6"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rightToLeft="1" tabSelected="1" zoomScaleNormal="100" workbookViewId="0">
      <selection activeCell="M31" sqref="M31"/>
    </sheetView>
  </sheetViews>
  <sheetFormatPr defaultRowHeight="13.2"/>
  <sheetData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3"/>
  <sheetViews>
    <sheetView showZeros="0" rightToLeft="1" tabSelected="1" zoomScaleNormal="100" workbookViewId="0">
      <pane xSplit="1" ySplit="5" topLeftCell="B1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5.6"/>
  <cols>
    <col min="1" max="1" width="14.109375" style="44" customWidth="1"/>
    <col min="2" max="4" width="12.6640625" style="45" customWidth="1"/>
    <col min="5" max="5" width="12.6640625" style="45" hidden="1" customWidth="1"/>
    <col min="6" max="6" width="14.33203125" style="45" hidden="1" customWidth="1"/>
    <col min="7" max="9" width="11.109375" style="45" hidden="1" customWidth="1"/>
    <col min="10" max="10" width="12.6640625" style="40" customWidth="1"/>
    <col min="11" max="11" width="11.109375" style="45" customWidth="1"/>
    <col min="12" max="12" width="12.6640625" style="45" bestFit="1" customWidth="1"/>
    <col min="13" max="13" width="12.6640625" style="45" customWidth="1"/>
    <col min="14" max="14" width="12.6640625" style="40" hidden="1" customWidth="1"/>
    <col min="15" max="17" width="11.109375" style="45" hidden="1" customWidth="1"/>
    <col min="18" max="18" width="10.88671875" style="45" customWidth="1"/>
    <col min="19" max="19" width="12.6640625" style="45" customWidth="1"/>
    <col min="20" max="20" width="13.6640625" style="45" bestFit="1" customWidth="1"/>
    <col min="21" max="21" width="11.44140625" style="45" customWidth="1"/>
    <col min="22" max="22" width="11.33203125" style="45" hidden="1" customWidth="1"/>
    <col min="23" max="23" width="12.33203125" style="45" customWidth="1"/>
    <col min="24" max="24" width="9.6640625" style="45" hidden="1" customWidth="1"/>
    <col min="25" max="25" width="11.109375" style="45" customWidth="1"/>
    <col min="26" max="26" width="14.109375" style="42" hidden="1" customWidth="1"/>
    <col min="27" max="27" width="11.88671875" style="40" customWidth="1"/>
    <col min="28" max="28" width="10" style="40" customWidth="1"/>
    <col min="29" max="29" width="9.109375" style="42"/>
    <col min="30" max="30" width="10.109375" style="42" customWidth="1"/>
    <col min="31" max="16384" width="9.109375" style="42"/>
  </cols>
  <sheetData>
    <row r="2" spans="1:28" s="32" customFormat="1" ht="22.8">
      <c r="A2" s="225" t="s">
        <v>644</v>
      </c>
      <c r="B2" s="35"/>
      <c r="C2" s="35"/>
      <c r="D2" s="35"/>
      <c r="E2" s="35"/>
      <c r="F2" s="421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AA2" s="40"/>
      <c r="AB2" s="40"/>
    </row>
    <row r="3" spans="1:28" s="257" customFormat="1" ht="20.100000000000001" customHeight="1">
      <c r="A3" s="255"/>
      <c r="B3" s="219"/>
      <c r="C3" s="256"/>
      <c r="D3" s="256"/>
      <c r="E3" s="256"/>
      <c r="F3" s="256"/>
      <c r="G3" s="256"/>
      <c r="H3" s="256"/>
      <c r="I3" s="256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AA3" s="40"/>
      <c r="AB3" s="40"/>
    </row>
    <row r="4" spans="1:28" s="37" customFormat="1">
      <c r="A4" s="36"/>
      <c r="B4" s="622" t="s">
        <v>82</v>
      </c>
      <c r="C4" s="622"/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06"/>
      <c r="Q4" s="606"/>
      <c r="R4" s="622" t="s">
        <v>83</v>
      </c>
      <c r="S4" s="622"/>
      <c r="T4" s="622"/>
      <c r="U4" s="622"/>
      <c r="V4" s="622"/>
      <c r="W4" s="622"/>
      <c r="X4" s="622"/>
      <c r="Y4" s="622"/>
      <c r="Z4" s="365"/>
      <c r="AA4" s="40"/>
      <c r="AB4" s="40"/>
    </row>
    <row r="5" spans="1:28" s="31" customFormat="1" ht="69">
      <c r="A5" s="36" t="s">
        <v>643</v>
      </c>
      <c r="B5" s="36" t="s">
        <v>84</v>
      </c>
      <c r="C5" s="36" t="s">
        <v>4</v>
      </c>
      <c r="D5" s="36" t="s">
        <v>85</v>
      </c>
      <c r="E5" s="19" t="s">
        <v>92</v>
      </c>
      <c r="F5" s="19" t="s">
        <v>7</v>
      </c>
      <c r="G5" s="19" t="s">
        <v>8</v>
      </c>
      <c r="H5" s="19" t="s">
        <v>9</v>
      </c>
      <c r="I5" s="19" t="s">
        <v>10</v>
      </c>
      <c r="J5" s="9" t="s">
        <v>11</v>
      </c>
      <c r="K5" s="9" t="s">
        <v>875</v>
      </c>
      <c r="L5" s="9" t="s">
        <v>876</v>
      </c>
      <c r="M5" s="9" t="s">
        <v>877</v>
      </c>
      <c r="N5" s="9" t="s">
        <v>12</v>
      </c>
      <c r="O5" s="9" t="s">
        <v>878</v>
      </c>
      <c r="P5" s="9" t="s">
        <v>879</v>
      </c>
      <c r="Q5" s="9" t="s">
        <v>880</v>
      </c>
      <c r="R5" s="9" t="s">
        <v>881</v>
      </c>
      <c r="S5" s="9" t="s">
        <v>882</v>
      </c>
      <c r="T5" s="19" t="s">
        <v>13</v>
      </c>
      <c r="U5" s="19" t="s">
        <v>14</v>
      </c>
      <c r="V5" s="19" t="s">
        <v>15</v>
      </c>
      <c r="W5" s="19" t="s">
        <v>225</v>
      </c>
      <c r="X5" s="19" t="s">
        <v>575</v>
      </c>
      <c r="Y5" s="15" t="s">
        <v>79</v>
      </c>
      <c r="Z5" s="366"/>
      <c r="AA5" s="40"/>
      <c r="AB5" s="40"/>
    </row>
    <row r="6" spans="1:28" s="31" customFormat="1">
      <c r="A6" s="36"/>
      <c r="B6" s="36"/>
      <c r="C6" s="36"/>
      <c r="D6" s="36"/>
      <c r="E6" s="36"/>
      <c r="F6" s="19"/>
      <c r="G6" s="19"/>
      <c r="H6" s="19"/>
      <c r="I6" s="19"/>
      <c r="J6" s="30"/>
      <c r="K6" s="9"/>
      <c r="L6" s="36"/>
      <c r="M6" s="36"/>
      <c r="N6" s="30"/>
      <c r="O6" s="19"/>
      <c r="P6" s="19"/>
      <c r="Q6" s="19"/>
      <c r="R6" s="19"/>
      <c r="S6" s="36"/>
      <c r="T6" s="36"/>
      <c r="U6" s="36"/>
      <c r="V6" s="19"/>
      <c r="W6" s="19"/>
      <c r="X6" s="19"/>
      <c r="Y6" s="36"/>
      <c r="Z6" s="366"/>
      <c r="AA6" s="40"/>
      <c r="AB6" s="40"/>
    </row>
    <row r="7" spans="1:28" s="31" customFormat="1" ht="32.1" customHeight="1">
      <c r="A7" s="9" t="s">
        <v>338</v>
      </c>
      <c r="B7" s="10">
        <v>452393075</v>
      </c>
      <c r="C7" s="10">
        <v>446899791</v>
      </c>
      <c r="D7" s="10">
        <v>5493284</v>
      </c>
      <c r="E7" s="10">
        <v>191206071</v>
      </c>
      <c r="F7" s="10">
        <v>163008137</v>
      </c>
      <c r="G7" s="10">
        <v>3411354</v>
      </c>
      <c r="H7" s="10">
        <v>10060371</v>
      </c>
      <c r="I7" s="10">
        <v>13471725</v>
      </c>
      <c r="J7" s="10">
        <v>176479862</v>
      </c>
      <c r="K7" s="10">
        <v>5503493</v>
      </c>
      <c r="L7" s="10">
        <v>24560000</v>
      </c>
      <c r="M7" s="10">
        <v>245849720</v>
      </c>
      <c r="N7" s="10">
        <v>14726209</v>
      </c>
      <c r="O7" s="10">
        <v>560000</v>
      </c>
      <c r="P7" s="10">
        <v>0</v>
      </c>
      <c r="Q7" s="10">
        <v>560000</v>
      </c>
      <c r="R7" s="10">
        <v>9782716</v>
      </c>
      <c r="S7" s="10">
        <v>14777284</v>
      </c>
      <c r="T7" s="10">
        <v>14973956</v>
      </c>
      <c r="U7" s="10">
        <v>0</v>
      </c>
      <c r="V7" s="10">
        <v>0</v>
      </c>
      <c r="W7" s="10">
        <v>0</v>
      </c>
      <c r="X7" s="10">
        <v>0</v>
      </c>
      <c r="Y7" s="10">
        <v>-196672</v>
      </c>
      <c r="Z7" s="10"/>
      <c r="AA7" s="40"/>
      <c r="AB7" s="40"/>
    </row>
    <row r="8" spans="1:28" s="40" customFormat="1" ht="32.1" customHeight="1">
      <c r="A8" s="9" t="s">
        <v>180</v>
      </c>
      <c r="B8" s="38">
        <v>3576267028</v>
      </c>
      <c r="C8" s="38">
        <v>3311894339</v>
      </c>
      <c r="D8" s="38">
        <v>264372689</v>
      </c>
      <c r="E8" s="38">
        <v>1595139611</v>
      </c>
      <c r="F8" s="38">
        <v>1320333529</v>
      </c>
      <c r="G8" s="38">
        <v>7701092</v>
      </c>
      <c r="H8" s="38">
        <v>38242600.210000001</v>
      </c>
      <c r="I8" s="38">
        <v>45943692.210000001</v>
      </c>
      <c r="J8" s="38">
        <v>1366277221.21</v>
      </c>
      <c r="K8" s="38">
        <v>325067412.78999996</v>
      </c>
      <c r="L8" s="38">
        <v>363016816</v>
      </c>
      <c r="M8" s="38">
        <v>1521905578</v>
      </c>
      <c r="N8" s="38">
        <v>228862389.78999999</v>
      </c>
      <c r="O8" s="38">
        <v>84055023</v>
      </c>
      <c r="P8" s="38">
        <v>26150000</v>
      </c>
      <c r="Q8" s="38">
        <v>110205023</v>
      </c>
      <c r="R8" s="38">
        <v>14000000</v>
      </c>
      <c r="S8" s="38">
        <v>349016816</v>
      </c>
      <c r="T8" s="38">
        <v>244086638</v>
      </c>
      <c r="U8" s="38">
        <v>25030000</v>
      </c>
      <c r="V8" s="38">
        <v>0</v>
      </c>
      <c r="W8" s="38">
        <v>866000</v>
      </c>
      <c r="X8" s="38">
        <v>0</v>
      </c>
      <c r="Y8" s="38">
        <v>79034178</v>
      </c>
      <c r="Z8" s="38"/>
      <c r="AA8" s="39"/>
    </row>
    <row r="9" spans="1:28" s="40" customFormat="1" ht="32.1" customHeight="1">
      <c r="A9" s="9" t="s">
        <v>768</v>
      </c>
      <c r="B9" s="38">
        <v>764460976</v>
      </c>
      <c r="C9" s="38">
        <v>742170430</v>
      </c>
      <c r="D9" s="38">
        <v>22290546</v>
      </c>
      <c r="E9" s="38">
        <v>545765720</v>
      </c>
      <c r="F9" s="38">
        <v>451317336.09000009</v>
      </c>
      <c r="G9" s="38">
        <v>8974344</v>
      </c>
      <c r="H9" s="38">
        <v>58078463.219999999</v>
      </c>
      <c r="I9" s="38">
        <v>67052807.219999991</v>
      </c>
      <c r="J9" s="38">
        <v>518370143.30999988</v>
      </c>
      <c r="K9" s="38">
        <v>42431129.690000005</v>
      </c>
      <c r="L9" s="38">
        <v>78816000</v>
      </c>
      <c r="M9" s="38">
        <v>124843703</v>
      </c>
      <c r="N9" s="38">
        <v>27395576.689999998</v>
      </c>
      <c r="O9" s="38">
        <v>10450000</v>
      </c>
      <c r="P9" s="38">
        <v>7800553</v>
      </c>
      <c r="Q9" s="38">
        <v>18250553</v>
      </c>
      <c r="R9" s="38">
        <v>3215000</v>
      </c>
      <c r="S9" s="38">
        <v>75601000</v>
      </c>
      <c r="T9" s="38">
        <v>-900000</v>
      </c>
      <c r="U9" s="38">
        <v>60879061</v>
      </c>
      <c r="V9" s="38">
        <v>0</v>
      </c>
      <c r="W9" s="38">
        <v>0</v>
      </c>
      <c r="X9" s="38">
        <v>0</v>
      </c>
      <c r="Y9" s="38">
        <v>15621939</v>
      </c>
      <c r="Z9" s="38"/>
      <c r="AA9" s="39"/>
    </row>
    <row r="10" spans="1:28" s="40" customFormat="1" ht="32.1" customHeight="1">
      <c r="A10" s="221" t="s">
        <v>1384</v>
      </c>
      <c r="B10" s="38">
        <v>46089720</v>
      </c>
      <c r="C10" s="38">
        <v>45477720</v>
      </c>
      <c r="D10" s="38">
        <v>612000</v>
      </c>
      <c r="E10" s="38">
        <v>18947720</v>
      </c>
      <c r="F10" s="38">
        <v>12464526.189999999</v>
      </c>
      <c r="G10" s="38">
        <v>0</v>
      </c>
      <c r="H10" s="38">
        <v>2819019.6500000004</v>
      </c>
      <c r="I10" s="38">
        <v>2819019.6500000004</v>
      </c>
      <c r="J10" s="38">
        <v>15283545.84</v>
      </c>
      <c r="K10" s="38">
        <v>2991337.1599999997</v>
      </c>
      <c r="L10" s="38">
        <v>3600000</v>
      </c>
      <c r="M10" s="38">
        <v>24214837</v>
      </c>
      <c r="N10" s="38">
        <v>3664174.1599999997</v>
      </c>
      <c r="O10" s="38">
        <v>210000</v>
      </c>
      <c r="P10" s="38">
        <v>0</v>
      </c>
      <c r="Q10" s="38">
        <v>210000</v>
      </c>
      <c r="R10" s="38">
        <v>882837</v>
      </c>
      <c r="S10" s="38">
        <v>2717163</v>
      </c>
      <c r="T10" s="38">
        <v>0</v>
      </c>
      <c r="U10" s="38">
        <v>2562000</v>
      </c>
      <c r="V10" s="38">
        <v>0</v>
      </c>
      <c r="W10" s="38">
        <v>0</v>
      </c>
      <c r="X10" s="38">
        <v>0</v>
      </c>
      <c r="Y10" s="38">
        <v>155163</v>
      </c>
      <c r="Z10" s="38"/>
    </row>
    <row r="11" spans="1:28" s="40" customFormat="1" ht="32.1" customHeight="1">
      <c r="A11" s="221" t="s">
        <v>314</v>
      </c>
      <c r="B11" s="38">
        <v>23908365</v>
      </c>
      <c r="C11" s="38">
        <v>21311365</v>
      </c>
      <c r="D11" s="38">
        <v>2597000</v>
      </c>
      <c r="E11" s="38">
        <v>18255365</v>
      </c>
      <c r="F11" s="38">
        <v>16004642</v>
      </c>
      <c r="G11" s="38">
        <v>0</v>
      </c>
      <c r="H11" s="38">
        <v>1497947</v>
      </c>
      <c r="I11" s="38">
        <v>1497947</v>
      </c>
      <c r="J11" s="38">
        <v>17502589</v>
      </c>
      <c r="K11" s="38">
        <v>1667776</v>
      </c>
      <c r="L11" s="38">
        <v>3117000</v>
      </c>
      <c r="M11" s="38">
        <v>1621000</v>
      </c>
      <c r="N11" s="38">
        <v>752776</v>
      </c>
      <c r="O11" s="38">
        <v>700000</v>
      </c>
      <c r="P11" s="38">
        <v>215000</v>
      </c>
      <c r="Q11" s="38">
        <v>915000</v>
      </c>
      <c r="R11" s="38">
        <v>0</v>
      </c>
      <c r="S11" s="38">
        <v>3117000</v>
      </c>
      <c r="T11" s="38">
        <v>0</v>
      </c>
      <c r="U11" s="38">
        <v>3117000</v>
      </c>
      <c r="V11" s="38">
        <v>0</v>
      </c>
      <c r="W11" s="38">
        <v>0</v>
      </c>
      <c r="X11" s="38">
        <v>0</v>
      </c>
      <c r="Y11" s="38">
        <v>0</v>
      </c>
      <c r="Z11" s="38"/>
    </row>
    <row r="12" spans="1:28" s="40" customFormat="1" ht="32.1" customHeight="1">
      <c r="A12" s="9" t="s">
        <v>87</v>
      </c>
      <c r="B12" s="38">
        <v>9063000</v>
      </c>
      <c r="C12" s="38">
        <v>10013000</v>
      </c>
      <c r="D12" s="38">
        <v>-950000</v>
      </c>
      <c r="E12" s="38">
        <v>4021068</v>
      </c>
      <c r="F12" s="38">
        <v>3809740</v>
      </c>
      <c r="G12" s="38">
        <v>0</v>
      </c>
      <c r="H12" s="38">
        <v>0</v>
      </c>
      <c r="I12" s="38">
        <v>0</v>
      </c>
      <c r="J12" s="38">
        <v>3809740</v>
      </c>
      <c r="K12" s="38">
        <v>211328</v>
      </c>
      <c r="L12" s="38">
        <v>1600000</v>
      </c>
      <c r="M12" s="38">
        <v>3441932</v>
      </c>
      <c r="N12" s="38">
        <v>211328</v>
      </c>
      <c r="O12" s="38">
        <v>0</v>
      </c>
      <c r="P12" s="38">
        <v>0</v>
      </c>
      <c r="Q12" s="38">
        <v>0</v>
      </c>
      <c r="R12" s="38">
        <v>0</v>
      </c>
      <c r="S12" s="38">
        <v>1600000</v>
      </c>
      <c r="T12" s="38">
        <v>859101</v>
      </c>
      <c r="U12" s="38">
        <v>0</v>
      </c>
      <c r="V12" s="38">
        <v>0</v>
      </c>
      <c r="W12" s="38">
        <v>0</v>
      </c>
      <c r="X12" s="38">
        <v>0</v>
      </c>
      <c r="Y12" s="38">
        <v>740899</v>
      </c>
      <c r="Z12" s="38"/>
    </row>
    <row r="13" spans="1:28" s="40" customFormat="1" ht="32.1" customHeight="1">
      <c r="A13" s="9" t="s">
        <v>384</v>
      </c>
      <c r="B13" s="38">
        <v>76788000</v>
      </c>
      <c r="C13" s="38">
        <v>74318000</v>
      </c>
      <c r="D13" s="38">
        <v>2470000</v>
      </c>
      <c r="E13" s="38">
        <v>53591000</v>
      </c>
      <c r="F13" s="38">
        <v>40336972</v>
      </c>
      <c r="G13" s="38">
        <v>30900</v>
      </c>
      <c r="H13" s="38">
        <v>10165219</v>
      </c>
      <c r="I13" s="38">
        <v>10196119</v>
      </c>
      <c r="J13" s="38">
        <v>50533091</v>
      </c>
      <c r="K13" s="38">
        <v>6287909</v>
      </c>
      <c r="L13" s="38">
        <v>14386000</v>
      </c>
      <c r="M13" s="38">
        <v>5581000</v>
      </c>
      <c r="N13" s="38">
        <v>3057909</v>
      </c>
      <c r="O13" s="38">
        <v>2450000</v>
      </c>
      <c r="P13" s="38">
        <v>1000000</v>
      </c>
      <c r="Q13" s="38">
        <v>3450000</v>
      </c>
      <c r="R13" s="38">
        <v>220000</v>
      </c>
      <c r="S13" s="38">
        <v>14166000</v>
      </c>
      <c r="T13" s="38">
        <v>0</v>
      </c>
      <c r="U13" s="38">
        <v>13166000</v>
      </c>
      <c r="V13" s="38">
        <v>0</v>
      </c>
      <c r="W13" s="38">
        <v>0</v>
      </c>
      <c r="X13" s="38">
        <v>0</v>
      </c>
      <c r="Y13" s="38">
        <v>1000000</v>
      </c>
      <c r="Z13" s="38"/>
    </row>
    <row r="14" spans="1:28" s="40" customFormat="1" ht="32.1" customHeight="1">
      <c r="A14" s="9" t="s">
        <v>383</v>
      </c>
      <c r="B14" s="38">
        <v>121909000</v>
      </c>
      <c r="C14" s="38">
        <v>121909000</v>
      </c>
      <c r="D14" s="38">
        <v>0</v>
      </c>
      <c r="E14" s="38">
        <v>57501825</v>
      </c>
      <c r="F14" s="38">
        <v>41310164</v>
      </c>
      <c r="G14" s="38">
        <v>280567</v>
      </c>
      <c r="H14" s="38">
        <v>589240</v>
      </c>
      <c r="I14" s="38">
        <v>869807</v>
      </c>
      <c r="J14" s="38">
        <v>42179971</v>
      </c>
      <c r="K14" s="38">
        <v>3551854</v>
      </c>
      <c r="L14" s="38">
        <v>13060000</v>
      </c>
      <c r="M14" s="38">
        <v>63117175</v>
      </c>
      <c r="N14" s="38">
        <v>15321854</v>
      </c>
      <c r="O14" s="38">
        <v>990000</v>
      </c>
      <c r="P14" s="38">
        <v>0</v>
      </c>
      <c r="Q14" s="38">
        <v>990000</v>
      </c>
      <c r="R14" s="38">
        <v>12760000</v>
      </c>
      <c r="S14" s="38">
        <v>300000</v>
      </c>
      <c r="T14" s="38">
        <v>300000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/>
    </row>
    <row r="15" spans="1:28" s="40" customFormat="1" ht="32.1" customHeight="1">
      <c r="A15" s="221" t="s">
        <v>213</v>
      </c>
      <c r="B15" s="38">
        <v>143306603</v>
      </c>
      <c r="C15" s="38">
        <v>134948663</v>
      </c>
      <c r="D15" s="38">
        <v>8357940</v>
      </c>
      <c r="E15" s="38">
        <v>111061525</v>
      </c>
      <c r="F15" s="38">
        <v>93797840</v>
      </c>
      <c r="G15" s="38">
        <v>0</v>
      </c>
      <c r="H15" s="38">
        <v>3133597</v>
      </c>
      <c r="I15" s="38">
        <v>3133597</v>
      </c>
      <c r="J15" s="38">
        <v>96931437</v>
      </c>
      <c r="K15" s="38">
        <v>10385028</v>
      </c>
      <c r="L15" s="38">
        <v>9270000</v>
      </c>
      <c r="M15" s="38">
        <v>26720138</v>
      </c>
      <c r="N15" s="38">
        <v>14130088</v>
      </c>
      <c r="O15" s="38">
        <v>450000</v>
      </c>
      <c r="P15" s="38">
        <v>200000</v>
      </c>
      <c r="Q15" s="38">
        <v>650000</v>
      </c>
      <c r="R15" s="38">
        <v>4395060</v>
      </c>
      <c r="S15" s="38">
        <v>4874940</v>
      </c>
      <c r="T15" s="38">
        <v>-417695</v>
      </c>
      <c r="U15" s="38">
        <v>5245939</v>
      </c>
      <c r="V15" s="38">
        <v>0</v>
      </c>
      <c r="W15" s="38">
        <v>0</v>
      </c>
      <c r="X15" s="38">
        <v>0</v>
      </c>
      <c r="Y15" s="38">
        <v>46696</v>
      </c>
      <c r="Z15" s="38"/>
    </row>
    <row r="16" spans="1:28" s="40" customFormat="1" ht="32.1" customHeight="1">
      <c r="A16" s="221" t="s">
        <v>176</v>
      </c>
      <c r="B16" s="38">
        <v>5214185767</v>
      </c>
      <c r="C16" s="38">
        <v>4908942308</v>
      </c>
      <c r="D16" s="38">
        <v>305243459</v>
      </c>
      <c r="E16" s="38">
        <v>2595489905</v>
      </c>
      <c r="F16" s="38">
        <v>2142382886.2800002</v>
      </c>
      <c r="G16" s="38">
        <v>20398257</v>
      </c>
      <c r="H16" s="38">
        <v>124586457.08000001</v>
      </c>
      <c r="I16" s="38">
        <v>144984714.07999998</v>
      </c>
      <c r="J16" s="38">
        <v>2287367600.3599997</v>
      </c>
      <c r="K16" s="38">
        <v>398097267.63999999</v>
      </c>
      <c r="L16" s="38">
        <v>511425816</v>
      </c>
      <c r="M16" s="38">
        <v>2017295083</v>
      </c>
      <c r="N16" s="38">
        <v>308122304.64000005</v>
      </c>
      <c r="O16" s="38">
        <v>99865023</v>
      </c>
      <c r="P16" s="38">
        <v>35365553</v>
      </c>
      <c r="Q16" s="38">
        <v>135230576</v>
      </c>
      <c r="R16" s="38">
        <v>45255613</v>
      </c>
      <c r="S16" s="38">
        <v>466170203</v>
      </c>
      <c r="T16" s="38">
        <v>258902000</v>
      </c>
      <c r="U16" s="38">
        <v>110000000</v>
      </c>
      <c r="V16" s="38">
        <v>0</v>
      </c>
      <c r="W16" s="38">
        <v>866000</v>
      </c>
      <c r="X16" s="38">
        <v>0</v>
      </c>
      <c r="Y16" s="38">
        <v>96402203</v>
      </c>
      <c r="Z16" s="367"/>
    </row>
    <row r="17" spans="1:28" s="40" customFormat="1" hidden="1">
      <c r="A17" s="254"/>
      <c r="B17" s="368"/>
      <c r="C17" s="39"/>
      <c r="D17" s="39"/>
      <c r="E17" s="39"/>
      <c r="F17" s="39"/>
      <c r="G17" s="39"/>
      <c r="H17" s="39"/>
      <c r="I17" s="368"/>
      <c r="J17" s="368"/>
      <c r="K17" s="368"/>
      <c r="L17" s="39"/>
      <c r="M17" s="39"/>
      <c r="N17" s="368"/>
      <c r="O17" s="39"/>
      <c r="P17" s="39"/>
      <c r="Q17" s="368"/>
      <c r="R17" s="368"/>
      <c r="S17" s="368"/>
      <c r="T17" s="39"/>
      <c r="U17" s="39"/>
      <c r="V17" s="39"/>
      <c r="W17" s="39"/>
      <c r="X17" s="39"/>
      <c r="Y17" s="39"/>
    </row>
    <row r="18" spans="1:28" s="40" customFormat="1" hidden="1">
      <c r="A18" s="254"/>
      <c r="B18" s="38"/>
      <c r="C18" s="39"/>
      <c r="D18" s="39"/>
      <c r="E18" s="39"/>
      <c r="F18" s="39"/>
      <c r="G18" s="39"/>
      <c r="H18" s="39"/>
      <c r="I18" s="38"/>
      <c r="J18" s="38"/>
      <c r="K18" s="39"/>
      <c r="L18" s="39"/>
      <c r="M18" s="39"/>
      <c r="N18" s="38"/>
      <c r="O18" s="39"/>
      <c r="P18" s="39"/>
      <c r="Q18" s="38"/>
      <c r="R18" s="38"/>
      <c r="S18" s="38"/>
      <c r="T18" s="38"/>
      <c r="U18" s="39"/>
      <c r="V18" s="39"/>
      <c r="W18" s="39"/>
      <c r="X18" s="39"/>
      <c r="Y18" s="39"/>
    </row>
    <row r="19" spans="1:28" s="40" customFormat="1" hidden="1">
      <c r="A19" s="254"/>
      <c r="B19" s="39"/>
      <c r="C19" s="39"/>
      <c r="D19" s="39"/>
      <c r="E19" s="39"/>
      <c r="F19" s="39"/>
      <c r="G19" s="39"/>
      <c r="H19" s="39"/>
      <c r="I19" s="39"/>
      <c r="J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8" hidden="1">
      <c r="J20" s="39"/>
      <c r="K20" s="39"/>
      <c r="M20" s="46"/>
      <c r="N20" s="47"/>
      <c r="O20" s="46"/>
      <c r="P20" s="48"/>
      <c r="Q20" s="48"/>
      <c r="R20" s="47"/>
      <c r="S20" s="49"/>
      <c r="T20" s="49"/>
      <c r="U20" s="49"/>
      <c r="V20" s="49"/>
      <c r="W20" s="49"/>
      <c r="X20" s="49"/>
      <c r="Y20" s="49"/>
    </row>
    <row r="21" spans="1:28" s="353" customFormat="1" hidden="1">
      <c r="A21" s="348"/>
      <c r="B21" s="315"/>
      <c r="C21" s="315"/>
      <c r="D21" s="315"/>
      <c r="E21" s="315"/>
      <c r="F21" s="315"/>
      <c r="G21" s="315"/>
      <c r="H21" s="315"/>
      <c r="I21" s="315"/>
      <c r="J21" s="344"/>
      <c r="K21" s="315"/>
      <c r="L21" s="315"/>
      <c r="M21" s="349"/>
      <c r="N21" s="350"/>
      <c r="O21" s="349"/>
      <c r="P21" s="351"/>
      <c r="Q21" s="351"/>
      <c r="R21" s="352"/>
      <c r="S21" s="345"/>
      <c r="T21" s="345"/>
      <c r="U21" s="345"/>
      <c r="V21" s="345"/>
      <c r="W21" s="345"/>
      <c r="X21" s="345"/>
      <c r="Y21" s="345"/>
      <c r="AA21" s="344"/>
      <c r="AB21" s="344"/>
    </row>
    <row r="22" spans="1:28" hidden="1">
      <c r="M22" s="49"/>
      <c r="N22" s="50"/>
      <c r="O22" s="49"/>
      <c r="P22" s="51"/>
      <c r="Q22" s="51"/>
      <c r="R22" s="41"/>
      <c r="S22" s="52"/>
      <c r="T22" s="52"/>
      <c r="U22" s="52"/>
      <c r="V22" s="52"/>
      <c r="W22" s="52"/>
      <c r="X22" s="52"/>
      <c r="Y22" s="52"/>
    </row>
    <row r="23" spans="1:28">
      <c r="M23" s="55"/>
      <c r="O23" s="55"/>
      <c r="P23" s="55"/>
      <c r="Q23" s="55"/>
      <c r="R23" s="53"/>
      <c r="S23" s="53"/>
      <c r="T23" s="53"/>
      <c r="U23" s="53"/>
      <c r="V23" s="53"/>
      <c r="W23" s="53"/>
      <c r="X23" s="53"/>
      <c r="Y23" s="53"/>
    </row>
  </sheetData>
  <sheetProtection formatCells="0" formatColumns="0" formatRows="0" insertColumns="0" insertRows="0" insertHyperlinks="0" deleteColumns="0" deleteRows="0" sort="0" autoFilter="0" pivotTables="0"/>
  <mergeCells count="3">
    <mergeCell ref="B4:M4"/>
    <mergeCell ref="N4:O4"/>
    <mergeCell ref="R4:Y4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M31" sqref="M31"/>
    </sheetView>
  </sheetViews>
  <sheetFormatPr defaultRowHeight="13.2"/>
  <sheetData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7"/>
  <sheetViews>
    <sheetView showZeros="0" rightToLeft="1" tabSelected="1" zoomScaleNormal="100" workbookViewId="0">
      <pane xSplit="1" ySplit="5" topLeftCell="B6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5.6"/>
  <cols>
    <col min="1" max="1" width="13.33203125" style="44" customWidth="1"/>
    <col min="2" max="2" width="13.6640625" style="45" customWidth="1"/>
    <col min="3" max="3" width="12.88671875" style="45" customWidth="1"/>
    <col min="4" max="4" width="10.88671875" style="45" customWidth="1"/>
    <col min="5" max="6" width="13.6640625" style="45" hidden="1" customWidth="1"/>
    <col min="7" max="7" width="11" style="45" hidden="1" customWidth="1"/>
    <col min="8" max="9" width="12" style="45" hidden="1" customWidth="1"/>
    <col min="10" max="10" width="13.109375" style="40" customWidth="1"/>
    <col min="11" max="12" width="11.109375" style="45" customWidth="1"/>
    <col min="13" max="13" width="12.44140625" style="45" customWidth="1"/>
    <col min="14" max="14" width="12" style="40" hidden="1" customWidth="1"/>
    <col min="15" max="15" width="18.109375" style="45" hidden="1" customWidth="1"/>
    <col min="16" max="16" width="11" style="45" hidden="1" customWidth="1"/>
    <col min="17" max="17" width="12" style="45" hidden="1" customWidth="1"/>
    <col min="18" max="18" width="10.33203125" style="45" customWidth="1"/>
    <col min="19" max="19" width="11.109375" style="45" customWidth="1"/>
    <col min="20" max="20" width="12" style="45" bestFit="1" customWidth="1"/>
    <col min="21" max="21" width="11.5546875" style="45" customWidth="1"/>
    <col min="22" max="22" width="8.6640625" style="45" hidden="1" customWidth="1"/>
    <col min="23" max="23" width="9.88671875" style="45" customWidth="1"/>
    <col min="24" max="24" width="10" style="45" hidden="1" customWidth="1"/>
    <col min="25" max="25" width="11.33203125" style="45" customWidth="1"/>
    <col min="26" max="26" width="13.44140625" style="42" customWidth="1"/>
    <col min="27" max="27" width="11.88671875" style="42" customWidth="1"/>
    <col min="28" max="28" width="10" style="42" customWidth="1"/>
    <col min="29" max="29" width="9.109375" style="42"/>
    <col min="30" max="30" width="10.109375" style="42" customWidth="1"/>
    <col min="31" max="16384" width="9.109375" style="42"/>
  </cols>
  <sheetData>
    <row r="2" spans="1:26" s="32" customFormat="1" ht="22.8">
      <c r="A2" s="225" t="s">
        <v>246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6" s="32" customFormat="1" ht="22.8">
      <c r="A3" s="33"/>
      <c r="B3" s="34"/>
      <c r="C3" s="34"/>
      <c r="D3" s="34"/>
      <c r="E3" s="34"/>
      <c r="F3" s="34"/>
      <c r="G3" s="34"/>
      <c r="H3" s="34"/>
      <c r="I3" s="34"/>
      <c r="J3" s="35"/>
      <c r="K3" s="34"/>
      <c r="L3" s="34"/>
      <c r="M3" s="34"/>
      <c r="N3" s="35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6" s="37" customFormat="1">
      <c r="A4" s="36"/>
      <c r="B4" s="622" t="s">
        <v>82</v>
      </c>
      <c r="C4" s="622"/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06"/>
      <c r="Q4" s="606"/>
      <c r="R4" s="622" t="s">
        <v>83</v>
      </c>
      <c r="S4" s="622"/>
      <c r="T4" s="622"/>
      <c r="U4" s="623"/>
      <c r="V4" s="623"/>
      <c r="W4" s="623"/>
      <c r="X4" s="622"/>
      <c r="Y4" s="622"/>
    </row>
    <row r="5" spans="1:26" s="31" customFormat="1" ht="62.4">
      <c r="A5" s="36" t="s">
        <v>250</v>
      </c>
      <c r="B5" s="36" t="s">
        <v>84</v>
      </c>
      <c r="C5" s="36" t="s">
        <v>4</v>
      </c>
      <c r="D5" s="36" t="s">
        <v>85</v>
      </c>
      <c r="E5" s="36" t="s">
        <v>92</v>
      </c>
      <c r="F5" s="19" t="s">
        <v>7</v>
      </c>
      <c r="G5" s="19" t="s">
        <v>8</v>
      </c>
      <c r="H5" s="19" t="s">
        <v>9</v>
      </c>
      <c r="I5" s="19" t="s">
        <v>10</v>
      </c>
      <c r="J5" s="30" t="s">
        <v>11</v>
      </c>
      <c r="K5" s="9" t="s">
        <v>875</v>
      </c>
      <c r="L5" s="36" t="s">
        <v>876</v>
      </c>
      <c r="M5" s="36" t="s">
        <v>877</v>
      </c>
      <c r="N5" s="30" t="s">
        <v>86</v>
      </c>
      <c r="O5" s="19" t="s">
        <v>1276</v>
      </c>
      <c r="P5" s="19" t="s">
        <v>1277</v>
      </c>
      <c r="Q5" s="19" t="s">
        <v>880</v>
      </c>
      <c r="R5" s="19" t="s">
        <v>881</v>
      </c>
      <c r="S5" s="36" t="s">
        <v>882</v>
      </c>
      <c r="T5" s="36" t="s">
        <v>13</v>
      </c>
      <c r="U5" s="36" t="s">
        <v>14</v>
      </c>
      <c r="V5" s="19" t="s">
        <v>15</v>
      </c>
      <c r="W5" s="19" t="s">
        <v>225</v>
      </c>
      <c r="X5" s="19" t="s">
        <v>575</v>
      </c>
      <c r="Y5" s="36" t="s">
        <v>79</v>
      </c>
      <c r="Z5" s="22"/>
    </row>
    <row r="6" spans="1:26" s="31" customFormat="1" ht="25.2" customHeight="1">
      <c r="A6" s="221" t="s">
        <v>368</v>
      </c>
      <c r="B6" s="10">
        <v>10450000</v>
      </c>
      <c r="C6" s="10">
        <v>8980000</v>
      </c>
      <c r="D6" s="10">
        <v>1470000</v>
      </c>
      <c r="E6" s="10">
        <v>3333000</v>
      </c>
      <c r="F6" s="10">
        <v>3026314</v>
      </c>
      <c r="G6" s="10">
        <v>30900</v>
      </c>
      <c r="H6" s="10">
        <v>92190</v>
      </c>
      <c r="I6" s="10">
        <v>123090</v>
      </c>
      <c r="J6" s="10">
        <v>3149404</v>
      </c>
      <c r="K6" s="10">
        <v>433596</v>
      </c>
      <c r="L6" s="10">
        <v>1970000</v>
      </c>
      <c r="M6" s="10">
        <v>4897000</v>
      </c>
      <c r="N6" s="10">
        <v>183596</v>
      </c>
      <c r="O6" s="10">
        <v>250000</v>
      </c>
      <c r="P6" s="10">
        <v>0</v>
      </c>
      <c r="Q6" s="10">
        <v>250000</v>
      </c>
      <c r="R6" s="10">
        <v>0</v>
      </c>
      <c r="S6" s="10">
        <v>1970000</v>
      </c>
      <c r="T6" s="10">
        <v>0</v>
      </c>
      <c r="U6" s="10">
        <v>1970000</v>
      </c>
      <c r="V6" s="10">
        <v>0</v>
      </c>
      <c r="W6" s="10">
        <v>0</v>
      </c>
      <c r="X6" s="10">
        <v>0</v>
      </c>
      <c r="Y6" s="10">
        <v>0</v>
      </c>
      <c r="Z6" s="23"/>
    </row>
    <row r="7" spans="1:26" s="40" customFormat="1" ht="27" customHeight="1">
      <c r="A7" s="9" t="s">
        <v>369</v>
      </c>
      <c r="B7" s="38">
        <v>174812511</v>
      </c>
      <c r="C7" s="38">
        <v>169796511</v>
      </c>
      <c r="D7" s="38">
        <v>5016000</v>
      </c>
      <c r="E7" s="38">
        <v>96802791</v>
      </c>
      <c r="F7" s="38">
        <v>68909635</v>
      </c>
      <c r="G7" s="38">
        <v>2802800</v>
      </c>
      <c r="H7" s="38">
        <v>7307558</v>
      </c>
      <c r="I7" s="38">
        <v>10110358</v>
      </c>
      <c r="J7" s="38">
        <v>79019993</v>
      </c>
      <c r="K7" s="38">
        <v>11597798</v>
      </c>
      <c r="L7" s="38">
        <v>18395000</v>
      </c>
      <c r="M7" s="38">
        <v>65799720</v>
      </c>
      <c r="N7" s="38">
        <v>17782798</v>
      </c>
      <c r="O7" s="38">
        <v>250000</v>
      </c>
      <c r="P7" s="38">
        <v>0</v>
      </c>
      <c r="Q7" s="38">
        <v>250000</v>
      </c>
      <c r="R7" s="38">
        <v>6435000</v>
      </c>
      <c r="S7" s="38">
        <v>11960000</v>
      </c>
      <c r="T7" s="38">
        <v>10919101</v>
      </c>
      <c r="U7" s="38">
        <v>300000</v>
      </c>
      <c r="V7" s="38">
        <v>0</v>
      </c>
      <c r="W7" s="38">
        <v>0</v>
      </c>
      <c r="X7" s="38">
        <v>0</v>
      </c>
      <c r="Y7" s="38">
        <v>740899</v>
      </c>
      <c r="Z7" s="39"/>
    </row>
    <row r="8" spans="1:26" s="40" customFormat="1" ht="27" customHeight="1">
      <c r="A8" s="9" t="s">
        <v>370</v>
      </c>
      <c r="B8" s="38">
        <v>2098073384</v>
      </c>
      <c r="C8" s="38">
        <v>2120432294</v>
      </c>
      <c r="D8" s="38">
        <v>-22358910</v>
      </c>
      <c r="E8" s="38">
        <v>1114534602</v>
      </c>
      <c r="F8" s="38">
        <v>946727680.03999996</v>
      </c>
      <c r="G8" s="38">
        <v>1198548</v>
      </c>
      <c r="H8" s="38">
        <v>39822017.390000001</v>
      </c>
      <c r="I8" s="38">
        <v>41020565.390000001</v>
      </c>
      <c r="J8" s="38">
        <v>987748245.43000007</v>
      </c>
      <c r="K8" s="38">
        <v>143323580.56999999</v>
      </c>
      <c r="L8" s="38">
        <v>110953698</v>
      </c>
      <c r="M8" s="38">
        <v>856047860</v>
      </c>
      <c r="N8" s="38">
        <v>126786356.57000001</v>
      </c>
      <c r="O8" s="38">
        <v>30210000</v>
      </c>
      <c r="P8" s="38">
        <v>5300000</v>
      </c>
      <c r="Q8" s="38">
        <v>35510000</v>
      </c>
      <c r="R8" s="38">
        <v>18972776</v>
      </c>
      <c r="S8" s="38">
        <v>91980922</v>
      </c>
      <c r="T8" s="38">
        <v>64075959</v>
      </c>
      <c r="U8" s="38">
        <v>24842635</v>
      </c>
      <c r="V8" s="38">
        <v>0</v>
      </c>
      <c r="W8" s="38">
        <v>0</v>
      </c>
      <c r="X8" s="38">
        <v>0</v>
      </c>
      <c r="Y8" s="38">
        <v>3062328</v>
      </c>
    </row>
    <row r="9" spans="1:26" s="40" customFormat="1" ht="25.2" customHeight="1">
      <c r="A9" s="415" t="s">
        <v>371</v>
      </c>
      <c r="B9" s="38">
        <v>23702557</v>
      </c>
      <c r="C9" s="38">
        <v>18061557</v>
      </c>
      <c r="D9" s="38">
        <v>5641000</v>
      </c>
      <c r="E9" s="38">
        <v>15681557</v>
      </c>
      <c r="F9" s="38">
        <v>13698911.529999999</v>
      </c>
      <c r="G9" s="38">
        <v>56624</v>
      </c>
      <c r="H9" s="38">
        <v>1137630</v>
      </c>
      <c r="I9" s="38">
        <v>1194254</v>
      </c>
      <c r="J9" s="38">
        <v>14893165.529999999</v>
      </c>
      <c r="K9" s="38">
        <v>788391.47000000067</v>
      </c>
      <c r="L9" s="38">
        <v>5341000</v>
      </c>
      <c r="M9" s="38">
        <v>2680000</v>
      </c>
      <c r="N9" s="38">
        <v>788391.47000000067</v>
      </c>
      <c r="O9" s="38">
        <v>0</v>
      </c>
      <c r="P9" s="38">
        <v>0</v>
      </c>
      <c r="Q9" s="38">
        <v>0</v>
      </c>
      <c r="R9" s="38">
        <v>0</v>
      </c>
      <c r="S9" s="38">
        <v>5341000</v>
      </c>
      <c r="T9" s="38">
        <v>0</v>
      </c>
      <c r="U9" s="38">
        <v>4950000</v>
      </c>
      <c r="V9" s="38">
        <v>0</v>
      </c>
      <c r="W9" s="38">
        <v>0</v>
      </c>
      <c r="X9" s="38">
        <v>0</v>
      </c>
      <c r="Y9" s="38">
        <v>391000</v>
      </c>
    </row>
    <row r="10" spans="1:26" s="40" customFormat="1" ht="41.4">
      <c r="A10" s="9" t="s">
        <v>855</v>
      </c>
      <c r="B10" s="38">
        <v>153756000</v>
      </c>
      <c r="C10" s="38">
        <v>167566000</v>
      </c>
      <c r="D10" s="38">
        <v>-13810000</v>
      </c>
      <c r="E10" s="38">
        <v>117406000</v>
      </c>
      <c r="F10" s="38">
        <v>99183935</v>
      </c>
      <c r="G10" s="38">
        <v>0</v>
      </c>
      <c r="H10" s="38">
        <v>15435352.4</v>
      </c>
      <c r="I10" s="38">
        <v>15435352.4</v>
      </c>
      <c r="J10" s="38">
        <v>114619287.40000001</v>
      </c>
      <c r="K10" s="38">
        <v>7216712.5999999996</v>
      </c>
      <c r="L10" s="38">
        <v>15056000</v>
      </c>
      <c r="M10" s="38">
        <v>16864000</v>
      </c>
      <c r="N10" s="38">
        <v>2786712.6</v>
      </c>
      <c r="O10" s="38">
        <v>3700000</v>
      </c>
      <c r="P10" s="38">
        <v>1000000</v>
      </c>
      <c r="Q10" s="38">
        <v>4700000</v>
      </c>
      <c r="R10" s="38">
        <v>270000</v>
      </c>
      <c r="S10" s="38">
        <v>14786000</v>
      </c>
      <c r="T10" s="38">
        <v>150000</v>
      </c>
      <c r="U10" s="38">
        <v>13296000</v>
      </c>
      <c r="V10" s="38">
        <v>0</v>
      </c>
      <c r="W10" s="38">
        <v>0</v>
      </c>
      <c r="X10" s="38">
        <v>0</v>
      </c>
      <c r="Y10" s="38">
        <v>1340000</v>
      </c>
    </row>
    <row r="11" spans="1:26" s="40" customFormat="1" ht="25.2" customHeight="1">
      <c r="A11" s="415" t="s">
        <v>372</v>
      </c>
      <c r="B11" s="38">
        <v>1671718192</v>
      </c>
      <c r="C11" s="38">
        <v>1393990208</v>
      </c>
      <c r="D11" s="38">
        <v>277727984</v>
      </c>
      <c r="E11" s="38">
        <v>686335240</v>
      </c>
      <c r="F11" s="38">
        <v>536571450.84999996</v>
      </c>
      <c r="G11" s="38">
        <v>14865435</v>
      </c>
      <c r="H11" s="38">
        <v>41246035.259999998</v>
      </c>
      <c r="I11" s="38">
        <v>56111470.259999998</v>
      </c>
      <c r="J11" s="38">
        <v>592682921.11000001</v>
      </c>
      <c r="K11" s="38">
        <v>156764504.88999999</v>
      </c>
      <c r="L11" s="38">
        <v>276798118</v>
      </c>
      <c r="M11" s="38">
        <v>645472648</v>
      </c>
      <c r="N11" s="38">
        <v>93652318.890000001</v>
      </c>
      <c r="O11" s="38">
        <v>42145023</v>
      </c>
      <c r="P11" s="38">
        <v>26150000</v>
      </c>
      <c r="Q11" s="38">
        <v>68295023</v>
      </c>
      <c r="R11" s="38">
        <v>5182837</v>
      </c>
      <c r="S11" s="38">
        <v>271615281</v>
      </c>
      <c r="T11" s="38">
        <v>148006940</v>
      </c>
      <c r="U11" s="38">
        <v>45321061</v>
      </c>
      <c r="V11" s="38">
        <v>0</v>
      </c>
      <c r="W11" s="38">
        <v>866000</v>
      </c>
      <c r="X11" s="38">
        <v>0</v>
      </c>
      <c r="Y11" s="38">
        <v>77421280</v>
      </c>
    </row>
    <row r="12" spans="1:26" s="40" customFormat="1" ht="27" customHeight="1">
      <c r="A12" s="9" t="s">
        <v>808</v>
      </c>
      <c r="B12" s="38">
        <v>549919705</v>
      </c>
      <c r="C12" s="38">
        <v>521788000</v>
      </c>
      <c r="D12" s="38">
        <v>28131705</v>
      </c>
      <c r="E12" s="38">
        <v>189876705</v>
      </c>
      <c r="F12" s="38">
        <v>146487908</v>
      </c>
      <c r="G12" s="38">
        <v>0</v>
      </c>
      <c r="H12" s="38">
        <v>10468247</v>
      </c>
      <c r="I12" s="38">
        <v>10468247</v>
      </c>
      <c r="J12" s="38">
        <v>156956155</v>
      </c>
      <c r="K12" s="38">
        <v>52685550</v>
      </c>
      <c r="L12" s="38">
        <v>45167000</v>
      </c>
      <c r="M12" s="38">
        <v>295111000</v>
      </c>
      <c r="N12" s="38">
        <v>32920550</v>
      </c>
      <c r="O12" s="38">
        <v>18300000</v>
      </c>
      <c r="P12" s="38">
        <v>2265000</v>
      </c>
      <c r="Q12" s="38">
        <v>20565000</v>
      </c>
      <c r="R12" s="38">
        <v>800000</v>
      </c>
      <c r="S12" s="38">
        <v>44367000</v>
      </c>
      <c r="T12" s="38">
        <v>28800000</v>
      </c>
      <c r="U12" s="38">
        <v>12767000</v>
      </c>
      <c r="V12" s="38">
        <v>0</v>
      </c>
      <c r="W12" s="38">
        <v>0</v>
      </c>
      <c r="X12" s="38">
        <v>0</v>
      </c>
      <c r="Y12" s="38">
        <v>2800000</v>
      </c>
    </row>
    <row r="13" spans="1:26" s="40" customFormat="1" ht="25.2" customHeight="1">
      <c r="A13" s="415" t="s">
        <v>376</v>
      </c>
      <c r="B13" s="38">
        <v>28000000</v>
      </c>
      <c r="C13" s="38">
        <v>28000000</v>
      </c>
      <c r="D13" s="38">
        <v>0</v>
      </c>
      <c r="E13" s="38">
        <v>5300000</v>
      </c>
      <c r="F13" s="38">
        <v>3961697</v>
      </c>
      <c r="G13" s="38">
        <v>0</v>
      </c>
      <c r="H13" s="38">
        <v>147434</v>
      </c>
      <c r="I13" s="38">
        <v>147434</v>
      </c>
      <c r="J13" s="38">
        <v>4109131</v>
      </c>
      <c r="K13" s="38">
        <v>1010869</v>
      </c>
      <c r="L13" s="38">
        <v>6180000</v>
      </c>
      <c r="M13" s="38">
        <v>16700000</v>
      </c>
      <c r="N13" s="38">
        <v>1190869</v>
      </c>
      <c r="O13" s="38">
        <v>0</v>
      </c>
      <c r="P13" s="38">
        <v>0</v>
      </c>
      <c r="Q13" s="38">
        <v>0</v>
      </c>
      <c r="R13" s="38">
        <v>180000</v>
      </c>
      <c r="S13" s="38">
        <v>6000000</v>
      </c>
      <c r="T13" s="38">
        <v>2300000</v>
      </c>
      <c r="U13" s="38">
        <v>0</v>
      </c>
      <c r="V13" s="38">
        <v>0</v>
      </c>
      <c r="W13" s="38">
        <v>0</v>
      </c>
      <c r="X13" s="38">
        <v>0</v>
      </c>
      <c r="Y13" s="38">
        <v>3700000</v>
      </c>
    </row>
    <row r="14" spans="1:26" s="40" customFormat="1" ht="27" customHeight="1">
      <c r="A14" s="9" t="s">
        <v>373</v>
      </c>
      <c r="B14" s="38">
        <v>35200000</v>
      </c>
      <c r="C14" s="38">
        <v>21450000</v>
      </c>
      <c r="D14" s="38">
        <v>13750000</v>
      </c>
      <c r="E14" s="38">
        <v>10900000</v>
      </c>
      <c r="F14" s="38">
        <v>6305225</v>
      </c>
      <c r="G14" s="38">
        <v>844007</v>
      </c>
      <c r="H14" s="38">
        <v>1078726</v>
      </c>
      <c r="I14" s="38">
        <v>1922733</v>
      </c>
      <c r="J14" s="38">
        <v>8227958</v>
      </c>
      <c r="K14" s="38">
        <v>2672042</v>
      </c>
      <c r="L14" s="38">
        <v>4150000</v>
      </c>
      <c r="M14" s="38">
        <v>20150000</v>
      </c>
      <c r="N14" s="38">
        <v>2672042</v>
      </c>
      <c r="O14" s="38">
        <v>0</v>
      </c>
      <c r="P14" s="38">
        <v>0</v>
      </c>
      <c r="Q14" s="38">
        <v>0</v>
      </c>
      <c r="R14" s="38">
        <v>0</v>
      </c>
      <c r="S14" s="38">
        <v>4150000</v>
      </c>
      <c r="T14" s="38">
        <v>3650000</v>
      </c>
      <c r="U14" s="38">
        <v>500000</v>
      </c>
      <c r="V14" s="38">
        <v>0</v>
      </c>
      <c r="W14" s="38">
        <v>0</v>
      </c>
      <c r="X14" s="38">
        <v>0</v>
      </c>
      <c r="Y14" s="38">
        <v>0</v>
      </c>
    </row>
    <row r="15" spans="1:26" s="40" customFormat="1" ht="27.6">
      <c r="A15" s="9" t="s">
        <v>374</v>
      </c>
      <c r="B15" s="38">
        <v>34599500</v>
      </c>
      <c r="C15" s="38">
        <v>34449500</v>
      </c>
      <c r="D15" s="38">
        <v>150000</v>
      </c>
      <c r="E15" s="38">
        <v>17539500</v>
      </c>
      <c r="F15" s="38">
        <v>8297558.8599999994</v>
      </c>
      <c r="G15" s="38">
        <v>319376</v>
      </c>
      <c r="H15" s="38">
        <v>983746.03</v>
      </c>
      <c r="I15" s="38">
        <v>1303122.03</v>
      </c>
      <c r="J15" s="38">
        <v>9600680.8900000006</v>
      </c>
      <c r="K15" s="38">
        <v>8148819.1099999994</v>
      </c>
      <c r="L15" s="38">
        <v>790000</v>
      </c>
      <c r="M15" s="38">
        <v>16060000</v>
      </c>
      <c r="N15" s="38">
        <v>7938819.1099999994</v>
      </c>
      <c r="O15" s="38">
        <v>300000</v>
      </c>
      <c r="P15" s="38">
        <v>0</v>
      </c>
      <c r="Q15" s="38">
        <v>300000</v>
      </c>
      <c r="R15" s="38">
        <v>90000</v>
      </c>
      <c r="S15" s="38">
        <v>700000</v>
      </c>
      <c r="T15" s="38">
        <v>0</v>
      </c>
      <c r="U15" s="38">
        <v>753304</v>
      </c>
      <c r="V15" s="38">
        <v>0</v>
      </c>
      <c r="W15" s="38">
        <v>0</v>
      </c>
      <c r="X15" s="38">
        <v>0</v>
      </c>
      <c r="Y15" s="38">
        <v>-53304</v>
      </c>
    </row>
    <row r="16" spans="1:26" s="40" customFormat="1" ht="27" customHeight="1">
      <c r="A16" s="9" t="s">
        <v>379</v>
      </c>
      <c r="B16" s="38">
        <v>50370000</v>
      </c>
      <c r="C16" s="38">
        <v>43744320</v>
      </c>
      <c r="D16" s="38">
        <v>6625680</v>
      </c>
      <c r="E16" s="38">
        <v>37794320</v>
      </c>
      <c r="F16" s="38">
        <v>33415604</v>
      </c>
      <c r="G16" s="38">
        <v>0</v>
      </c>
      <c r="H16" s="38">
        <v>2266930</v>
      </c>
      <c r="I16" s="38">
        <v>2266930</v>
      </c>
      <c r="J16" s="38">
        <v>35682534</v>
      </c>
      <c r="K16" s="38">
        <v>3861786</v>
      </c>
      <c r="L16" s="38">
        <v>4200000</v>
      </c>
      <c r="M16" s="38">
        <v>6625680</v>
      </c>
      <c r="N16" s="38">
        <v>2111786</v>
      </c>
      <c r="O16" s="38">
        <v>1750000</v>
      </c>
      <c r="P16" s="38">
        <v>0</v>
      </c>
      <c r="Q16" s="38">
        <v>1750000</v>
      </c>
      <c r="R16" s="38">
        <v>0</v>
      </c>
      <c r="S16" s="38">
        <v>4200000</v>
      </c>
      <c r="T16" s="38">
        <v>700000</v>
      </c>
      <c r="U16" s="38">
        <v>3500000</v>
      </c>
      <c r="V16" s="38">
        <v>0</v>
      </c>
      <c r="W16" s="38">
        <v>0</v>
      </c>
      <c r="X16" s="38">
        <v>0</v>
      </c>
      <c r="Y16" s="38">
        <v>0</v>
      </c>
    </row>
    <row r="17" spans="1:27" s="40" customFormat="1" ht="27" customHeight="1">
      <c r="A17" s="9" t="s">
        <v>385</v>
      </c>
      <c r="B17" s="38">
        <v>113550000</v>
      </c>
      <c r="C17" s="38">
        <v>113550000</v>
      </c>
      <c r="D17" s="38">
        <v>0</v>
      </c>
      <c r="E17" s="38">
        <v>102200000</v>
      </c>
      <c r="F17" s="38">
        <v>100108466</v>
      </c>
      <c r="G17" s="38">
        <v>0</v>
      </c>
      <c r="H17" s="38">
        <v>1001101</v>
      </c>
      <c r="I17" s="38">
        <v>1001101</v>
      </c>
      <c r="J17" s="38">
        <v>101109567</v>
      </c>
      <c r="K17" s="38">
        <v>3090433</v>
      </c>
      <c r="L17" s="38">
        <v>7000000</v>
      </c>
      <c r="M17" s="38">
        <v>2350000</v>
      </c>
      <c r="N17" s="38">
        <v>1090433</v>
      </c>
      <c r="O17" s="38">
        <v>2000000</v>
      </c>
      <c r="P17" s="38">
        <v>0</v>
      </c>
      <c r="Q17" s="38">
        <v>2000000</v>
      </c>
      <c r="R17" s="38">
        <v>0</v>
      </c>
      <c r="S17" s="38">
        <v>7000000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7000000</v>
      </c>
    </row>
    <row r="18" spans="1:27" s="40" customFormat="1" ht="25.2" customHeight="1">
      <c r="A18" s="415" t="s">
        <v>377</v>
      </c>
      <c r="B18" s="38">
        <v>254900918</v>
      </c>
      <c r="C18" s="38">
        <v>252000918</v>
      </c>
      <c r="D18" s="38">
        <v>2900000</v>
      </c>
      <c r="E18" s="38">
        <v>182653190</v>
      </c>
      <c r="F18" s="38">
        <v>160555501</v>
      </c>
      <c r="G18" s="38">
        <v>280567</v>
      </c>
      <c r="H18" s="38">
        <v>3599490</v>
      </c>
      <c r="I18" s="38">
        <v>3880057</v>
      </c>
      <c r="J18" s="38">
        <v>164435558</v>
      </c>
      <c r="K18" s="38">
        <v>6503185</v>
      </c>
      <c r="L18" s="38">
        <v>15425000</v>
      </c>
      <c r="M18" s="38">
        <v>68537175</v>
      </c>
      <c r="N18" s="38">
        <v>18217632</v>
      </c>
      <c r="O18" s="38">
        <v>960000</v>
      </c>
      <c r="P18" s="38">
        <v>650553</v>
      </c>
      <c r="Q18" s="38">
        <v>1610553</v>
      </c>
      <c r="R18" s="38">
        <v>13325000</v>
      </c>
      <c r="S18" s="38">
        <v>2100000</v>
      </c>
      <c r="T18" s="38">
        <v>300000</v>
      </c>
      <c r="U18" s="38">
        <v>1800000</v>
      </c>
      <c r="V18" s="38">
        <v>0</v>
      </c>
      <c r="W18" s="38">
        <v>0</v>
      </c>
      <c r="X18" s="38">
        <v>0</v>
      </c>
      <c r="Y18" s="38">
        <v>0</v>
      </c>
    </row>
    <row r="19" spans="1:27" s="40" customFormat="1" ht="27" customHeight="1">
      <c r="A19" s="9" t="s">
        <v>378</v>
      </c>
      <c r="B19" s="38">
        <v>15133000</v>
      </c>
      <c r="C19" s="38">
        <v>15133000</v>
      </c>
      <c r="D19" s="38">
        <v>0</v>
      </c>
      <c r="E19" s="38">
        <v>15133000</v>
      </c>
      <c r="F19" s="38">
        <v>15133000</v>
      </c>
      <c r="G19" s="38">
        <v>0</v>
      </c>
      <c r="H19" s="38">
        <v>0</v>
      </c>
      <c r="I19" s="38">
        <v>0</v>
      </c>
      <c r="J19" s="38">
        <v>15133000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</row>
    <row r="20" spans="1:27" s="40" customFormat="1" ht="25.2" customHeight="1">
      <c r="A20" s="221" t="s">
        <v>88</v>
      </c>
      <c r="B20" s="38">
        <v>5214185767</v>
      </c>
      <c r="C20" s="38">
        <v>4908942308</v>
      </c>
      <c r="D20" s="38">
        <v>305243459</v>
      </c>
      <c r="E20" s="38">
        <v>2595489905</v>
      </c>
      <c r="F20" s="38">
        <v>2142382886.2799997</v>
      </c>
      <c r="G20" s="38">
        <v>20398257</v>
      </c>
      <c r="H20" s="38">
        <v>124586457.08</v>
      </c>
      <c r="I20" s="38">
        <v>144984714.08000001</v>
      </c>
      <c r="J20" s="38">
        <v>2287367600.3600006</v>
      </c>
      <c r="K20" s="38">
        <v>398097267.63999999</v>
      </c>
      <c r="L20" s="38">
        <v>511425816</v>
      </c>
      <c r="M20" s="38">
        <v>2017295083</v>
      </c>
      <c r="N20" s="38">
        <v>308122304.63999999</v>
      </c>
      <c r="O20" s="38">
        <v>99865023</v>
      </c>
      <c r="P20" s="38">
        <v>35365553</v>
      </c>
      <c r="Q20" s="38">
        <v>135230576</v>
      </c>
      <c r="R20" s="38">
        <v>45255613</v>
      </c>
      <c r="S20" s="38">
        <v>466170203</v>
      </c>
      <c r="T20" s="38">
        <v>258902000</v>
      </c>
      <c r="U20" s="38">
        <v>110000000</v>
      </c>
      <c r="V20" s="38">
        <v>0</v>
      </c>
      <c r="W20" s="38">
        <v>866000</v>
      </c>
      <c r="X20" s="38">
        <v>0</v>
      </c>
      <c r="Y20" s="38">
        <v>96402203</v>
      </c>
    </row>
    <row r="21" spans="1:27" s="40" customFormat="1">
      <c r="A21" s="416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spans="1:27" s="40" customFormat="1" ht="15.6" hidden="1" customHeight="1">
      <c r="A22" s="42"/>
      <c r="B22" s="43"/>
      <c r="C22" s="43"/>
      <c r="D22" s="23"/>
      <c r="E22" s="43"/>
      <c r="F22" s="43"/>
      <c r="G22" s="43"/>
      <c r="H22" s="43"/>
      <c r="I22" s="43"/>
      <c r="J22" s="364">
        <f>I20+F20</f>
        <v>2287367600.3599997</v>
      </c>
      <c r="K22" s="364">
        <f>N22+Q20-R20</f>
        <v>398097267.63999939</v>
      </c>
      <c r="L22" s="23"/>
      <c r="M22" s="23"/>
      <c r="N22" s="364">
        <f>E20-J20</f>
        <v>308122304.63999939</v>
      </c>
      <c r="O22" s="23"/>
      <c r="P22" s="23"/>
      <c r="Q22" s="23"/>
      <c r="R22" s="23"/>
      <c r="S22" s="364">
        <f>L20-R20</f>
        <v>466170203</v>
      </c>
      <c r="T22" s="23"/>
      <c r="U22" s="23"/>
      <c r="V22" s="23"/>
      <c r="W22" s="23"/>
      <c r="X22" s="23"/>
      <c r="Y22" s="23"/>
    </row>
    <row r="23" spans="1:27" ht="15.6" hidden="1" customHeight="1">
      <c r="D23" s="56"/>
      <c r="J23" s="39"/>
      <c r="K23" s="39"/>
      <c r="M23" s="46"/>
      <c r="N23" s="47"/>
      <c r="O23" s="46"/>
      <c r="P23" s="48"/>
      <c r="Q23" s="48"/>
      <c r="R23" s="47"/>
      <c r="S23" s="49" t="s">
        <v>88</v>
      </c>
      <c r="T23" s="49" t="s">
        <v>78</v>
      </c>
      <c r="U23" s="49" t="s">
        <v>89</v>
      </c>
      <c r="V23" s="49" t="s">
        <v>15</v>
      </c>
      <c r="W23" s="49" t="s">
        <v>225</v>
      </c>
      <c r="X23" s="49" t="s">
        <v>575</v>
      </c>
      <c r="Y23" s="49" t="s">
        <v>79</v>
      </c>
    </row>
    <row r="24" spans="1:27" ht="15.6" hidden="1" customHeight="1">
      <c r="B24" s="56"/>
      <c r="D24" s="56"/>
      <c r="L24" s="56"/>
      <c r="M24" s="49" t="s">
        <v>90</v>
      </c>
      <c r="N24" s="50"/>
      <c r="O24" s="49" t="s">
        <v>90</v>
      </c>
      <c r="P24" s="51"/>
      <c r="Q24" s="51"/>
      <c r="R24" s="41"/>
      <c r="S24" s="52" t="e">
        <f>SUM(T24:Y24)</f>
        <v>#REF!</v>
      </c>
      <c r="T24" s="52" t="e">
        <f>#REF!*1000</f>
        <v>#REF!</v>
      </c>
      <c r="U24" s="52" t="e">
        <f>#REF!*1000</f>
        <v>#REF!</v>
      </c>
      <c r="V24" s="52" t="e">
        <f>#REF!*1000</f>
        <v>#REF!</v>
      </c>
      <c r="W24" s="52" t="e">
        <f>#REF!*1000</f>
        <v>#REF!</v>
      </c>
      <c r="X24" s="52" t="e">
        <f>#REF!*1000</f>
        <v>#REF!</v>
      </c>
      <c r="Y24" s="52" t="e">
        <f>#REF!</f>
        <v>#REF!</v>
      </c>
    </row>
    <row r="25" spans="1:27" ht="15.6" hidden="1" customHeight="1">
      <c r="B25" s="56"/>
      <c r="M25" s="49" t="s">
        <v>91</v>
      </c>
      <c r="N25" s="50"/>
      <c r="O25" s="49" t="s">
        <v>91</v>
      </c>
      <c r="P25" s="51"/>
      <c r="Q25" s="51"/>
      <c r="R25" s="41"/>
      <c r="S25" s="52" t="e">
        <f t="shared" ref="S25:Y25" si="0">S24-S20</f>
        <v>#REF!</v>
      </c>
      <c r="T25" s="52" t="e">
        <f t="shared" si="0"/>
        <v>#REF!</v>
      </c>
      <c r="U25" s="52" t="e">
        <f t="shared" si="0"/>
        <v>#REF!</v>
      </c>
      <c r="V25" s="52" t="e">
        <f t="shared" si="0"/>
        <v>#REF!</v>
      </c>
      <c r="W25" s="52" t="e">
        <f>W24-W20</f>
        <v>#REF!</v>
      </c>
      <c r="X25" s="52" t="e">
        <f t="shared" si="0"/>
        <v>#REF!</v>
      </c>
      <c r="Y25" s="52" t="e">
        <f t="shared" si="0"/>
        <v>#REF!</v>
      </c>
      <c r="AA25" s="43"/>
    </row>
    <row r="26" spans="1:27" ht="15.6" hidden="1" customHeight="1">
      <c r="A26" s="54"/>
      <c r="D26" s="54"/>
      <c r="E26" s="54"/>
      <c r="M26" s="55"/>
      <c r="O26" s="55"/>
      <c r="P26" s="55"/>
      <c r="Q26" s="55"/>
      <c r="R26" s="40"/>
      <c r="S26" s="53"/>
      <c r="T26" s="53"/>
      <c r="U26" s="53"/>
      <c r="V26" s="53"/>
      <c r="W26" s="53"/>
      <c r="X26" s="53"/>
      <c r="Y26" s="53"/>
    </row>
    <row r="27" spans="1:27" ht="15.6" hidden="1" customHeight="1">
      <c r="A27" s="54"/>
      <c r="B27" s="54"/>
      <c r="C27" s="54"/>
      <c r="D27" s="54"/>
      <c r="M27" s="55"/>
      <c r="O27" s="55"/>
      <c r="P27" s="55"/>
      <c r="Q27" s="55"/>
      <c r="R27" s="40"/>
      <c r="S27" s="53"/>
      <c r="T27" s="53"/>
      <c r="U27" s="53"/>
      <c r="V27" s="53"/>
      <c r="W27" s="53"/>
      <c r="X27" s="53"/>
      <c r="Y27" s="53"/>
    </row>
    <row r="28" spans="1:27" ht="15.6" hidden="1" customHeight="1">
      <c r="A28" s="44" t="s">
        <v>836</v>
      </c>
      <c r="B28" s="54" t="e">
        <f>#REF!</f>
        <v>#REF!</v>
      </c>
      <c r="C28" s="54" t="e">
        <f>#REF!</f>
        <v>#REF!</v>
      </c>
      <c r="D28" s="54" t="e">
        <f>#REF!</f>
        <v>#REF!</v>
      </c>
      <c r="E28" s="54" t="e">
        <f>#REF!</f>
        <v>#REF!</v>
      </c>
      <c r="F28" s="54" t="e">
        <f>#REF!</f>
        <v>#REF!</v>
      </c>
      <c r="G28" s="54" t="e">
        <f>#REF!</f>
        <v>#REF!</v>
      </c>
      <c r="H28" s="54" t="e">
        <f>#REF!</f>
        <v>#REF!</v>
      </c>
      <c r="I28" s="54" t="e">
        <f>#REF!</f>
        <v>#REF!</v>
      </c>
      <c r="J28" s="54" t="e">
        <f>#REF!</f>
        <v>#REF!</v>
      </c>
      <c r="K28" s="54" t="e">
        <f>#REF!</f>
        <v>#REF!</v>
      </c>
      <c r="L28" s="54" t="e">
        <f>#REF!</f>
        <v>#REF!</v>
      </c>
      <c r="M28" s="54" t="e">
        <f>#REF!</f>
        <v>#REF!</v>
      </c>
      <c r="N28" s="54" t="e">
        <f>#REF!</f>
        <v>#REF!</v>
      </c>
      <c r="O28" s="54" t="e">
        <f>#REF!</f>
        <v>#REF!</v>
      </c>
      <c r="P28" s="54" t="e">
        <f>#REF!</f>
        <v>#REF!</v>
      </c>
      <c r="Q28" s="54" t="e">
        <f>#REF!</f>
        <v>#REF!</v>
      </c>
      <c r="R28" s="54" t="e">
        <f>#REF!</f>
        <v>#REF!</v>
      </c>
      <c r="S28" s="54" t="e">
        <f>#REF!</f>
        <v>#REF!</v>
      </c>
      <c r="T28" s="54" t="e">
        <f>#REF!</f>
        <v>#REF!</v>
      </c>
      <c r="U28" s="54" t="e">
        <f>#REF!</f>
        <v>#REF!</v>
      </c>
      <c r="V28" s="54" t="e">
        <f>#REF!</f>
        <v>#REF!</v>
      </c>
      <c r="W28" s="54" t="e">
        <f>#REF!</f>
        <v>#REF!</v>
      </c>
      <c r="X28" s="54" t="e">
        <f>#REF!</f>
        <v>#REF!</v>
      </c>
      <c r="Y28" s="54" t="e">
        <f>#REF!</f>
        <v>#REF!</v>
      </c>
    </row>
    <row r="29" spans="1:27" ht="15.6" hidden="1" customHeight="1">
      <c r="A29" s="44" t="s">
        <v>773</v>
      </c>
      <c r="B29" s="54" t="e">
        <f t="shared" ref="B29:Y29" si="1">B20-B28</f>
        <v>#REF!</v>
      </c>
      <c r="C29" s="54" t="e">
        <f t="shared" si="1"/>
        <v>#REF!</v>
      </c>
      <c r="D29" s="54" t="e">
        <f t="shared" si="1"/>
        <v>#REF!</v>
      </c>
      <c r="E29" s="54" t="e">
        <f t="shared" si="1"/>
        <v>#REF!</v>
      </c>
      <c r="F29" s="54" t="e">
        <f t="shared" si="1"/>
        <v>#REF!</v>
      </c>
      <c r="G29" s="54" t="e">
        <f t="shared" si="1"/>
        <v>#REF!</v>
      </c>
      <c r="H29" s="54" t="e">
        <f t="shared" si="1"/>
        <v>#REF!</v>
      </c>
      <c r="I29" s="54" t="e">
        <f t="shared" si="1"/>
        <v>#REF!</v>
      </c>
      <c r="J29" s="54" t="e">
        <f t="shared" si="1"/>
        <v>#REF!</v>
      </c>
      <c r="K29" s="54" t="e">
        <f t="shared" si="1"/>
        <v>#REF!</v>
      </c>
      <c r="L29" s="54" t="e">
        <f t="shared" si="1"/>
        <v>#REF!</v>
      </c>
      <c r="M29" s="54" t="e">
        <f t="shared" si="1"/>
        <v>#REF!</v>
      </c>
      <c r="N29" s="54" t="e">
        <f t="shared" si="1"/>
        <v>#REF!</v>
      </c>
      <c r="O29" s="54" t="e">
        <f t="shared" si="1"/>
        <v>#REF!</v>
      </c>
      <c r="P29" s="54" t="e">
        <f t="shared" si="1"/>
        <v>#REF!</v>
      </c>
      <c r="Q29" s="54" t="e">
        <f t="shared" si="1"/>
        <v>#REF!</v>
      </c>
      <c r="R29" s="54" t="e">
        <f t="shared" si="1"/>
        <v>#REF!</v>
      </c>
      <c r="S29" s="54" t="e">
        <f t="shared" si="1"/>
        <v>#REF!</v>
      </c>
      <c r="T29" s="54" t="e">
        <f t="shared" si="1"/>
        <v>#REF!</v>
      </c>
      <c r="U29" s="54" t="e">
        <f t="shared" si="1"/>
        <v>#REF!</v>
      </c>
      <c r="V29" s="54" t="e">
        <f t="shared" si="1"/>
        <v>#REF!</v>
      </c>
      <c r="W29" s="54" t="e">
        <f t="shared" si="1"/>
        <v>#REF!</v>
      </c>
      <c r="X29" s="54" t="e">
        <f t="shared" si="1"/>
        <v>#REF!</v>
      </c>
      <c r="Y29" s="54" t="e">
        <f t="shared" si="1"/>
        <v>#REF!</v>
      </c>
    </row>
    <row r="30" spans="1:27" s="45" customFormat="1">
      <c r="A30" s="44"/>
      <c r="B30" s="54"/>
      <c r="J30" s="40"/>
      <c r="U30" s="56"/>
      <c r="Z30" s="42"/>
      <c r="AA30" s="42"/>
    </row>
    <row r="31" spans="1:27" s="45" customFormat="1">
      <c r="A31" s="44"/>
      <c r="B31" s="54"/>
      <c r="J31" s="40"/>
      <c r="U31" s="56"/>
      <c r="Z31" s="42"/>
      <c r="AA31" s="42"/>
    </row>
    <row r="32" spans="1:27" s="45" customFormat="1">
      <c r="A32" s="44"/>
      <c r="B32" s="54"/>
      <c r="J32" s="40"/>
      <c r="U32" s="56"/>
      <c r="Z32" s="42"/>
      <c r="AA32" s="42"/>
    </row>
    <row r="33" spans="1:27" s="45" customFormat="1">
      <c r="A33" s="44"/>
      <c r="B33" s="54"/>
      <c r="J33" s="40"/>
      <c r="U33" s="56"/>
      <c r="Z33" s="42"/>
      <c r="AA33" s="42"/>
    </row>
    <row r="34" spans="1:27" s="45" customFormat="1">
      <c r="A34" s="44"/>
      <c r="B34" s="54"/>
      <c r="J34" s="40"/>
      <c r="U34" s="56"/>
      <c r="Z34" s="42"/>
      <c r="AA34" s="42"/>
    </row>
    <row r="35" spans="1:27" s="45" customFormat="1">
      <c r="A35" s="44"/>
      <c r="B35" s="54"/>
      <c r="J35" s="40"/>
      <c r="U35" s="56"/>
      <c r="Z35" s="42"/>
      <c r="AA35" s="42"/>
    </row>
    <row r="36" spans="1:27" s="45" customFormat="1">
      <c r="A36" s="44"/>
      <c r="B36" s="281"/>
      <c r="J36" s="40"/>
      <c r="U36" s="56"/>
      <c r="Z36" s="42"/>
      <c r="AA36" s="42"/>
    </row>
    <row r="37" spans="1:27" s="45" customFormat="1">
      <c r="A37" s="44"/>
      <c r="J37" s="40"/>
      <c r="M37" s="219"/>
      <c r="N37" s="220"/>
      <c r="O37" s="219"/>
      <c r="P37" s="219"/>
      <c r="Q37" s="219"/>
      <c r="R37" s="219"/>
      <c r="Z37" s="42"/>
      <c r="AA37" s="42"/>
    </row>
  </sheetData>
  <sheetProtection formatCells="0" formatColumns="0" formatRows="0" insertColumns="0" insertRows="0" insertHyperlinks="0" deleteColumns="0" deleteRows="0" sort="0" autoFilter="0" pivotTables="0"/>
  <mergeCells count="3">
    <mergeCell ref="B4:M4"/>
    <mergeCell ref="N4:O4"/>
    <mergeCell ref="R4:Y4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"/>
  <sheetViews>
    <sheetView showZeros="0" rightToLeft="1" tabSelected="1" topLeftCell="A4" workbookViewId="0">
      <selection activeCell="M31" sqref="M31"/>
    </sheetView>
  </sheetViews>
  <sheetFormatPr defaultRowHeight="15.6"/>
  <cols>
    <col min="1" max="1" width="25.5546875" style="61" customWidth="1"/>
    <col min="2" max="3" width="10.33203125" style="63" customWidth="1"/>
    <col min="4" max="4" width="11.109375" style="63" customWidth="1"/>
    <col min="5" max="6" width="10.33203125" style="63" hidden="1" customWidth="1"/>
    <col min="7" max="9" width="10.33203125" style="63" customWidth="1"/>
    <col min="10" max="10" width="10.33203125" style="63" hidden="1" customWidth="1"/>
    <col min="11" max="14" width="10.33203125" style="63" customWidth="1"/>
    <col min="15" max="15" width="11.33203125" style="61" customWidth="1"/>
    <col min="16" max="16" width="8.88671875" style="61" customWidth="1"/>
    <col min="17" max="17" width="13.33203125" style="131" customWidth="1"/>
    <col min="18" max="18" width="11.88671875" style="131" customWidth="1"/>
    <col min="19" max="19" width="12.109375" style="131" customWidth="1"/>
    <col min="20" max="20" width="2.6640625" style="131" customWidth="1"/>
    <col min="21" max="21" width="10.109375" style="131" bestFit="1" customWidth="1"/>
    <col min="22" max="22" width="9.109375" style="61" customWidth="1"/>
    <col min="23" max="257" width="8.88671875" style="61"/>
    <col min="258" max="258" width="4.109375" style="61" customWidth="1"/>
    <col min="259" max="259" width="25.5546875" style="61" customWidth="1"/>
    <col min="260" max="260" width="0" style="61" hidden="1" customWidth="1"/>
    <col min="261" max="261" width="9.109375" style="61" bestFit="1" customWidth="1"/>
    <col min="262" max="262" width="9.109375" style="61" customWidth="1"/>
    <col min="263" max="263" width="8.88671875" style="61" customWidth="1"/>
    <col min="264" max="265" width="10.6640625" style="61" customWidth="1"/>
    <col min="266" max="266" width="10" style="61" customWidth="1"/>
    <col min="267" max="267" width="10.44140625" style="61" customWidth="1"/>
    <col min="268" max="268" width="8.6640625" style="61" customWidth="1"/>
    <col min="269" max="269" width="0" style="61" hidden="1" customWidth="1"/>
    <col min="270" max="270" width="10.109375" style="61" bestFit="1" customWidth="1"/>
    <col min="271" max="271" width="10.109375" style="61" customWidth="1"/>
    <col min="272" max="272" width="0" style="61" hidden="1" customWidth="1"/>
    <col min="273" max="273" width="10" style="61" customWidth="1"/>
    <col min="274" max="274" width="12.88671875" style="61" customWidth="1"/>
    <col min="275" max="513" width="8.88671875" style="61"/>
    <col min="514" max="514" width="4.109375" style="61" customWidth="1"/>
    <col min="515" max="515" width="25.5546875" style="61" customWidth="1"/>
    <col min="516" max="516" width="0" style="61" hidden="1" customWidth="1"/>
    <col min="517" max="517" width="9.109375" style="61" bestFit="1" customWidth="1"/>
    <col min="518" max="518" width="9.109375" style="61" customWidth="1"/>
    <col min="519" max="519" width="8.88671875" style="61" customWidth="1"/>
    <col min="520" max="521" width="10.6640625" style="61" customWidth="1"/>
    <col min="522" max="522" width="10" style="61" customWidth="1"/>
    <col min="523" max="523" width="10.44140625" style="61" customWidth="1"/>
    <col min="524" max="524" width="8.6640625" style="61" customWidth="1"/>
    <col min="525" max="525" width="0" style="61" hidden="1" customWidth="1"/>
    <col min="526" max="526" width="10.109375" style="61" bestFit="1" customWidth="1"/>
    <col min="527" max="527" width="10.109375" style="61" customWidth="1"/>
    <col min="528" max="528" width="0" style="61" hidden="1" customWidth="1"/>
    <col min="529" max="529" width="10" style="61" customWidth="1"/>
    <col min="530" max="530" width="12.88671875" style="61" customWidth="1"/>
    <col min="531" max="769" width="8.88671875" style="61"/>
    <col min="770" max="770" width="4.109375" style="61" customWidth="1"/>
    <col min="771" max="771" width="25.5546875" style="61" customWidth="1"/>
    <col min="772" max="772" width="0" style="61" hidden="1" customWidth="1"/>
    <col min="773" max="773" width="9.109375" style="61" bestFit="1" customWidth="1"/>
    <col min="774" max="774" width="9.109375" style="61" customWidth="1"/>
    <col min="775" max="775" width="8.88671875" style="61" customWidth="1"/>
    <col min="776" max="777" width="10.6640625" style="61" customWidth="1"/>
    <col min="778" max="778" width="10" style="61" customWidth="1"/>
    <col min="779" max="779" width="10.44140625" style="61" customWidth="1"/>
    <col min="780" max="780" width="8.6640625" style="61" customWidth="1"/>
    <col min="781" max="781" width="0" style="61" hidden="1" customWidth="1"/>
    <col min="782" max="782" width="10.109375" style="61" bestFit="1" customWidth="1"/>
    <col min="783" max="783" width="10.109375" style="61" customWidth="1"/>
    <col min="784" max="784" width="0" style="61" hidden="1" customWidth="1"/>
    <col min="785" max="785" width="10" style="61" customWidth="1"/>
    <col min="786" max="786" width="12.88671875" style="61" customWidth="1"/>
    <col min="787" max="1025" width="8.88671875" style="61"/>
    <col min="1026" max="1026" width="4.109375" style="61" customWidth="1"/>
    <col min="1027" max="1027" width="25.5546875" style="61" customWidth="1"/>
    <col min="1028" max="1028" width="0" style="61" hidden="1" customWidth="1"/>
    <col min="1029" max="1029" width="9.109375" style="61" bestFit="1" customWidth="1"/>
    <col min="1030" max="1030" width="9.109375" style="61" customWidth="1"/>
    <col min="1031" max="1031" width="8.88671875" style="61" customWidth="1"/>
    <col min="1032" max="1033" width="10.6640625" style="61" customWidth="1"/>
    <col min="1034" max="1034" width="10" style="61" customWidth="1"/>
    <col min="1035" max="1035" width="10.44140625" style="61" customWidth="1"/>
    <col min="1036" max="1036" width="8.6640625" style="61" customWidth="1"/>
    <col min="1037" max="1037" width="0" style="61" hidden="1" customWidth="1"/>
    <col min="1038" max="1038" width="10.109375" style="61" bestFit="1" customWidth="1"/>
    <col min="1039" max="1039" width="10.109375" style="61" customWidth="1"/>
    <col min="1040" max="1040" width="0" style="61" hidden="1" customWidth="1"/>
    <col min="1041" max="1041" width="10" style="61" customWidth="1"/>
    <col min="1042" max="1042" width="12.88671875" style="61" customWidth="1"/>
    <col min="1043" max="1281" width="8.88671875" style="61"/>
    <col min="1282" max="1282" width="4.109375" style="61" customWidth="1"/>
    <col min="1283" max="1283" width="25.5546875" style="61" customWidth="1"/>
    <col min="1284" max="1284" width="0" style="61" hidden="1" customWidth="1"/>
    <col min="1285" max="1285" width="9.109375" style="61" bestFit="1" customWidth="1"/>
    <col min="1286" max="1286" width="9.109375" style="61" customWidth="1"/>
    <col min="1287" max="1287" width="8.88671875" style="61" customWidth="1"/>
    <col min="1288" max="1289" width="10.6640625" style="61" customWidth="1"/>
    <col min="1290" max="1290" width="10" style="61" customWidth="1"/>
    <col min="1291" max="1291" width="10.44140625" style="61" customWidth="1"/>
    <col min="1292" max="1292" width="8.6640625" style="61" customWidth="1"/>
    <col min="1293" max="1293" width="0" style="61" hidden="1" customWidth="1"/>
    <col min="1294" max="1294" width="10.109375" style="61" bestFit="1" customWidth="1"/>
    <col min="1295" max="1295" width="10.109375" style="61" customWidth="1"/>
    <col min="1296" max="1296" width="0" style="61" hidden="1" customWidth="1"/>
    <col min="1297" max="1297" width="10" style="61" customWidth="1"/>
    <col min="1298" max="1298" width="12.88671875" style="61" customWidth="1"/>
    <col min="1299" max="1537" width="8.88671875" style="61"/>
    <col min="1538" max="1538" width="4.109375" style="61" customWidth="1"/>
    <col min="1539" max="1539" width="25.5546875" style="61" customWidth="1"/>
    <col min="1540" max="1540" width="0" style="61" hidden="1" customWidth="1"/>
    <col min="1541" max="1541" width="9.109375" style="61" bestFit="1" customWidth="1"/>
    <col min="1542" max="1542" width="9.109375" style="61" customWidth="1"/>
    <col min="1543" max="1543" width="8.88671875" style="61" customWidth="1"/>
    <col min="1544" max="1545" width="10.6640625" style="61" customWidth="1"/>
    <col min="1546" max="1546" width="10" style="61" customWidth="1"/>
    <col min="1547" max="1547" width="10.44140625" style="61" customWidth="1"/>
    <col min="1548" max="1548" width="8.6640625" style="61" customWidth="1"/>
    <col min="1549" max="1549" width="0" style="61" hidden="1" customWidth="1"/>
    <col min="1550" max="1550" width="10.109375" style="61" bestFit="1" customWidth="1"/>
    <col min="1551" max="1551" width="10.109375" style="61" customWidth="1"/>
    <col min="1552" max="1552" width="0" style="61" hidden="1" customWidth="1"/>
    <col min="1553" max="1553" width="10" style="61" customWidth="1"/>
    <col min="1554" max="1554" width="12.88671875" style="61" customWidth="1"/>
    <col min="1555" max="1793" width="8.88671875" style="61"/>
    <col min="1794" max="1794" width="4.109375" style="61" customWidth="1"/>
    <col min="1795" max="1795" width="25.5546875" style="61" customWidth="1"/>
    <col min="1796" max="1796" width="0" style="61" hidden="1" customWidth="1"/>
    <col min="1797" max="1797" width="9.109375" style="61" bestFit="1" customWidth="1"/>
    <col min="1798" max="1798" width="9.109375" style="61" customWidth="1"/>
    <col min="1799" max="1799" width="8.88671875" style="61" customWidth="1"/>
    <col min="1800" max="1801" width="10.6640625" style="61" customWidth="1"/>
    <col min="1802" max="1802" width="10" style="61" customWidth="1"/>
    <col min="1803" max="1803" width="10.44140625" style="61" customWidth="1"/>
    <col min="1804" max="1804" width="8.6640625" style="61" customWidth="1"/>
    <col min="1805" max="1805" width="0" style="61" hidden="1" customWidth="1"/>
    <col min="1806" max="1806" width="10.109375" style="61" bestFit="1" customWidth="1"/>
    <col min="1807" max="1807" width="10.109375" style="61" customWidth="1"/>
    <col min="1808" max="1808" width="0" style="61" hidden="1" customWidth="1"/>
    <col min="1809" max="1809" width="10" style="61" customWidth="1"/>
    <col min="1810" max="1810" width="12.88671875" style="61" customWidth="1"/>
    <col min="1811" max="2049" width="8.88671875" style="61"/>
    <col min="2050" max="2050" width="4.109375" style="61" customWidth="1"/>
    <col min="2051" max="2051" width="25.5546875" style="61" customWidth="1"/>
    <col min="2052" max="2052" width="0" style="61" hidden="1" customWidth="1"/>
    <col min="2053" max="2053" width="9.109375" style="61" bestFit="1" customWidth="1"/>
    <col min="2054" max="2054" width="9.109375" style="61" customWidth="1"/>
    <col min="2055" max="2055" width="8.88671875" style="61" customWidth="1"/>
    <col min="2056" max="2057" width="10.6640625" style="61" customWidth="1"/>
    <col min="2058" max="2058" width="10" style="61" customWidth="1"/>
    <col min="2059" max="2059" width="10.44140625" style="61" customWidth="1"/>
    <col min="2060" max="2060" width="8.6640625" style="61" customWidth="1"/>
    <col min="2061" max="2061" width="0" style="61" hidden="1" customWidth="1"/>
    <col min="2062" max="2062" width="10.109375" style="61" bestFit="1" customWidth="1"/>
    <col min="2063" max="2063" width="10.109375" style="61" customWidth="1"/>
    <col min="2064" max="2064" width="0" style="61" hidden="1" customWidth="1"/>
    <col min="2065" max="2065" width="10" style="61" customWidth="1"/>
    <col min="2066" max="2066" width="12.88671875" style="61" customWidth="1"/>
    <col min="2067" max="2305" width="8.88671875" style="61"/>
    <col min="2306" max="2306" width="4.109375" style="61" customWidth="1"/>
    <col min="2307" max="2307" width="25.5546875" style="61" customWidth="1"/>
    <col min="2308" max="2308" width="0" style="61" hidden="1" customWidth="1"/>
    <col min="2309" max="2309" width="9.109375" style="61" bestFit="1" customWidth="1"/>
    <col min="2310" max="2310" width="9.109375" style="61" customWidth="1"/>
    <col min="2311" max="2311" width="8.88671875" style="61" customWidth="1"/>
    <col min="2312" max="2313" width="10.6640625" style="61" customWidth="1"/>
    <col min="2314" max="2314" width="10" style="61" customWidth="1"/>
    <col min="2315" max="2315" width="10.44140625" style="61" customWidth="1"/>
    <col min="2316" max="2316" width="8.6640625" style="61" customWidth="1"/>
    <col min="2317" max="2317" width="0" style="61" hidden="1" customWidth="1"/>
    <col min="2318" max="2318" width="10.109375" style="61" bestFit="1" customWidth="1"/>
    <col min="2319" max="2319" width="10.109375" style="61" customWidth="1"/>
    <col min="2320" max="2320" width="0" style="61" hidden="1" customWidth="1"/>
    <col min="2321" max="2321" width="10" style="61" customWidth="1"/>
    <col min="2322" max="2322" width="12.88671875" style="61" customWidth="1"/>
    <col min="2323" max="2561" width="8.88671875" style="61"/>
    <col min="2562" max="2562" width="4.109375" style="61" customWidth="1"/>
    <col min="2563" max="2563" width="25.5546875" style="61" customWidth="1"/>
    <col min="2564" max="2564" width="0" style="61" hidden="1" customWidth="1"/>
    <col min="2565" max="2565" width="9.109375" style="61" bestFit="1" customWidth="1"/>
    <col min="2566" max="2566" width="9.109375" style="61" customWidth="1"/>
    <col min="2567" max="2567" width="8.88671875" style="61" customWidth="1"/>
    <col min="2568" max="2569" width="10.6640625" style="61" customWidth="1"/>
    <col min="2570" max="2570" width="10" style="61" customWidth="1"/>
    <col min="2571" max="2571" width="10.44140625" style="61" customWidth="1"/>
    <col min="2572" max="2572" width="8.6640625" style="61" customWidth="1"/>
    <col min="2573" max="2573" width="0" style="61" hidden="1" customWidth="1"/>
    <col min="2574" max="2574" width="10.109375" style="61" bestFit="1" customWidth="1"/>
    <col min="2575" max="2575" width="10.109375" style="61" customWidth="1"/>
    <col min="2576" max="2576" width="0" style="61" hidden="1" customWidth="1"/>
    <col min="2577" max="2577" width="10" style="61" customWidth="1"/>
    <col min="2578" max="2578" width="12.88671875" style="61" customWidth="1"/>
    <col min="2579" max="2817" width="8.88671875" style="61"/>
    <col min="2818" max="2818" width="4.109375" style="61" customWidth="1"/>
    <col min="2819" max="2819" width="25.5546875" style="61" customWidth="1"/>
    <col min="2820" max="2820" width="0" style="61" hidden="1" customWidth="1"/>
    <col min="2821" max="2821" width="9.109375" style="61" bestFit="1" customWidth="1"/>
    <col min="2822" max="2822" width="9.109375" style="61" customWidth="1"/>
    <col min="2823" max="2823" width="8.88671875" style="61" customWidth="1"/>
    <col min="2824" max="2825" width="10.6640625" style="61" customWidth="1"/>
    <col min="2826" max="2826" width="10" style="61" customWidth="1"/>
    <col min="2827" max="2827" width="10.44140625" style="61" customWidth="1"/>
    <col min="2828" max="2828" width="8.6640625" style="61" customWidth="1"/>
    <col min="2829" max="2829" width="0" style="61" hidden="1" customWidth="1"/>
    <col min="2830" max="2830" width="10.109375" style="61" bestFit="1" customWidth="1"/>
    <col min="2831" max="2831" width="10.109375" style="61" customWidth="1"/>
    <col min="2832" max="2832" width="0" style="61" hidden="1" customWidth="1"/>
    <col min="2833" max="2833" width="10" style="61" customWidth="1"/>
    <col min="2834" max="2834" width="12.88671875" style="61" customWidth="1"/>
    <col min="2835" max="3073" width="8.88671875" style="61"/>
    <col min="3074" max="3074" width="4.109375" style="61" customWidth="1"/>
    <col min="3075" max="3075" width="25.5546875" style="61" customWidth="1"/>
    <col min="3076" max="3076" width="0" style="61" hidden="1" customWidth="1"/>
    <col min="3077" max="3077" width="9.109375" style="61" bestFit="1" customWidth="1"/>
    <col min="3078" max="3078" width="9.109375" style="61" customWidth="1"/>
    <col min="3079" max="3079" width="8.88671875" style="61" customWidth="1"/>
    <col min="3080" max="3081" width="10.6640625" style="61" customWidth="1"/>
    <col min="3082" max="3082" width="10" style="61" customWidth="1"/>
    <col min="3083" max="3083" width="10.44140625" style="61" customWidth="1"/>
    <col min="3084" max="3084" width="8.6640625" style="61" customWidth="1"/>
    <col min="3085" max="3085" width="0" style="61" hidden="1" customWidth="1"/>
    <col min="3086" max="3086" width="10.109375" style="61" bestFit="1" customWidth="1"/>
    <col min="3087" max="3087" width="10.109375" style="61" customWidth="1"/>
    <col min="3088" max="3088" width="0" style="61" hidden="1" customWidth="1"/>
    <col min="3089" max="3089" width="10" style="61" customWidth="1"/>
    <col min="3090" max="3090" width="12.88671875" style="61" customWidth="1"/>
    <col min="3091" max="3329" width="8.88671875" style="61"/>
    <col min="3330" max="3330" width="4.109375" style="61" customWidth="1"/>
    <col min="3331" max="3331" width="25.5546875" style="61" customWidth="1"/>
    <col min="3332" max="3332" width="0" style="61" hidden="1" customWidth="1"/>
    <col min="3333" max="3333" width="9.109375" style="61" bestFit="1" customWidth="1"/>
    <col min="3334" max="3334" width="9.109375" style="61" customWidth="1"/>
    <col min="3335" max="3335" width="8.88671875" style="61" customWidth="1"/>
    <col min="3336" max="3337" width="10.6640625" style="61" customWidth="1"/>
    <col min="3338" max="3338" width="10" style="61" customWidth="1"/>
    <col min="3339" max="3339" width="10.44140625" style="61" customWidth="1"/>
    <col min="3340" max="3340" width="8.6640625" style="61" customWidth="1"/>
    <col min="3341" max="3341" width="0" style="61" hidden="1" customWidth="1"/>
    <col min="3342" max="3342" width="10.109375" style="61" bestFit="1" customWidth="1"/>
    <col min="3343" max="3343" width="10.109375" style="61" customWidth="1"/>
    <col min="3344" max="3344" width="0" style="61" hidden="1" customWidth="1"/>
    <col min="3345" max="3345" width="10" style="61" customWidth="1"/>
    <col min="3346" max="3346" width="12.88671875" style="61" customWidth="1"/>
    <col min="3347" max="3585" width="8.88671875" style="61"/>
    <col min="3586" max="3586" width="4.109375" style="61" customWidth="1"/>
    <col min="3587" max="3587" width="25.5546875" style="61" customWidth="1"/>
    <col min="3588" max="3588" width="0" style="61" hidden="1" customWidth="1"/>
    <col min="3589" max="3589" width="9.109375" style="61" bestFit="1" customWidth="1"/>
    <col min="3590" max="3590" width="9.109375" style="61" customWidth="1"/>
    <col min="3591" max="3591" width="8.88671875" style="61" customWidth="1"/>
    <col min="3592" max="3593" width="10.6640625" style="61" customWidth="1"/>
    <col min="3594" max="3594" width="10" style="61" customWidth="1"/>
    <col min="3595" max="3595" width="10.44140625" style="61" customWidth="1"/>
    <col min="3596" max="3596" width="8.6640625" style="61" customWidth="1"/>
    <col min="3597" max="3597" width="0" style="61" hidden="1" customWidth="1"/>
    <col min="3598" max="3598" width="10.109375" style="61" bestFit="1" customWidth="1"/>
    <col min="3599" max="3599" width="10.109375" style="61" customWidth="1"/>
    <col min="3600" max="3600" width="0" style="61" hidden="1" customWidth="1"/>
    <col min="3601" max="3601" width="10" style="61" customWidth="1"/>
    <col min="3602" max="3602" width="12.88671875" style="61" customWidth="1"/>
    <col min="3603" max="3841" width="8.88671875" style="61"/>
    <col min="3842" max="3842" width="4.109375" style="61" customWidth="1"/>
    <col min="3843" max="3843" width="25.5546875" style="61" customWidth="1"/>
    <col min="3844" max="3844" width="0" style="61" hidden="1" customWidth="1"/>
    <col min="3845" max="3845" width="9.109375" style="61" bestFit="1" customWidth="1"/>
    <col min="3846" max="3846" width="9.109375" style="61" customWidth="1"/>
    <col min="3847" max="3847" width="8.88671875" style="61" customWidth="1"/>
    <col min="3848" max="3849" width="10.6640625" style="61" customWidth="1"/>
    <col min="3850" max="3850" width="10" style="61" customWidth="1"/>
    <col min="3851" max="3851" width="10.44140625" style="61" customWidth="1"/>
    <col min="3852" max="3852" width="8.6640625" style="61" customWidth="1"/>
    <col min="3853" max="3853" width="0" style="61" hidden="1" customWidth="1"/>
    <col min="3854" max="3854" width="10.109375" style="61" bestFit="1" customWidth="1"/>
    <col min="3855" max="3855" width="10.109375" style="61" customWidth="1"/>
    <col min="3856" max="3856" width="0" style="61" hidden="1" customWidth="1"/>
    <col min="3857" max="3857" width="10" style="61" customWidth="1"/>
    <col min="3858" max="3858" width="12.88671875" style="61" customWidth="1"/>
    <col min="3859" max="4097" width="8.88671875" style="61"/>
    <col min="4098" max="4098" width="4.109375" style="61" customWidth="1"/>
    <col min="4099" max="4099" width="25.5546875" style="61" customWidth="1"/>
    <col min="4100" max="4100" width="0" style="61" hidden="1" customWidth="1"/>
    <col min="4101" max="4101" width="9.109375" style="61" bestFit="1" customWidth="1"/>
    <col min="4102" max="4102" width="9.109375" style="61" customWidth="1"/>
    <col min="4103" max="4103" width="8.88671875" style="61" customWidth="1"/>
    <col min="4104" max="4105" width="10.6640625" style="61" customWidth="1"/>
    <col min="4106" max="4106" width="10" style="61" customWidth="1"/>
    <col min="4107" max="4107" width="10.44140625" style="61" customWidth="1"/>
    <col min="4108" max="4108" width="8.6640625" style="61" customWidth="1"/>
    <col min="4109" max="4109" width="0" style="61" hidden="1" customWidth="1"/>
    <col min="4110" max="4110" width="10.109375" style="61" bestFit="1" customWidth="1"/>
    <col min="4111" max="4111" width="10.109375" style="61" customWidth="1"/>
    <col min="4112" max="4112" width="0" style="61" hidden="1" customWidth="1"/>
    <col min="4113" max="4113" width="10" style="61" customWidth="1"/>
    <col min="4114" max="4114" width="12.88671875" style="61" customWidth="1"/>
    <col min="4115" max="4353" width="8.88671875" style="61"/>
    <col min="4354" max="4354" width="4.109375" style="61" customWidth="1"/>
    <col min="4355" max="4355" width="25.5546875" style="61" customWidth="1"/>
    <col min="4356" max="4356" width="0" style="61" hidden="1" customWidth="1"/>
    <col min="4357" max="4357" width="9.109375" style="61" bestFit="1" customWidth="1"/>
    <col min="4358" max="4358" width="9.109375" style="61" customWidth="1"/>
    <col min="4359" max="4359" width="8.88671875" style="61" customWidth="1"/>
    <col min="4360" max="4361" width="10.6640625" style="61" customWidth="1"/>
    <col min="4362" max="4362" width="10" style="61" customWidth="1"/>
    <col min="4363" max="4363" width="10.44140625" style="61" customWidth="1"/>
    <col min="4364" max="4364" width="8.6640625" style="61" customWidth="1"/>
    <col min="4365" max="4365" width="0" style="61" hidden="1" customWidth="1"/>
    <col min="4366" max="4366" width="10.109375" style="61" bestFit="1" customWidth="1"/>
    <col min="4367" max="4367" width="10.109375" style="61" customWidth="1"/>
    <col min="4368" max="4368" width="0" style="61" hidden="1" customWidth="1"/>
    <col min="4369" max="4369" width="10" style="61" customWidth="1"/>
    <col min="4370" max="4370" width="12.88671875" style="61" customWidth="1"/>
    <col min="4371" max="4609" width="8.88671875" style="61"/>
    <col min="4610" max="4610" width="4.109375" style="61" customWidth="1"/>
    <col min="4611" max="4611" width="25.5546875" style="61" customWidth="1"/>
    <col min="4612" max="4612" width="0" style="61" hidden="1" customWidth="1"/>
    <col min="4613" max="4613" width="9.109375" style="61" bestFit="1" customWidth="1"/>
    <col min="4614" max="4614" width="9.109375" style="61" customWidth="1"/>
    <col min="4615" max="4615" width="8.88671875" style="61" customWidth="1"/>
    <col min="4616" max="4617" width="10.6640625" style="61" customWidth="1"/>
    <col min="4618" max="4618" width="10" style="61" customWidth="1"/>
    <col min="4619" max="4619" width="10.44140625" style="61" customWidth="1"/>
    <col min="4620" max="4620" width="8.6640625" style="61" customWidth="1"/>
    <col min="4621" max="4621" width="0" style="61" hidden="1" customWidth="1"/>
    <col min="4622" max="4622" width="10.109375" style="61" bestFit="1" customWidth="1"/>
    <col min="4623" max="4623" width="10.109375" style="61" customWidth="1"/>
    <col min="4624" max="4624" width="0" style="61" hidden="1" customWidth="1"/>
    <col min="4625" max="4625" width="10" style="61" customWidth="1"/>
    <col min="4626" max="4626" width="12.88671875" style="61" customWidth="1"/>
    <col min="4627" max="4865" width="8.88671875" style="61"/>
    <col min="4866" max="4866" width="4.109375" style="61" customWidth="1"/>
    <col min="4867" max="4867" width="25.5546875" style="61" customWidth="1"/>
    <col min="4868" max="4868" width="0" style="61" hidden="1" customWidth="1"/>
    <col min="4869" max="4869" width="9.109375" style="61" bestFit="1" customWidth="1"/>
    <col min="4870" max="4870" width="9.109375" style="61" customWidth="1"/>
    <col min="4871" max="4871" width="8.88671875" style="61" customWidth="1"/>
    <col min="4872" max="4873" width="10.6640625" style="61" customWidth="1"/>
    <col min="4874" max="4874" width="10" style="61" customWidth="1"/>
    <col min="4875" max="4875" width="10.44140625" style="61" customWidth="1"/>
    <col min="4876" max="4876" width="8.6640625" style="61" customWidth="1"/>
    <col min="4877" max="4877" width="0" style="61" hidden="1" customWidth="1"/>
    <col min="4878" max="4878" width="10.109375" style="61" bestFit="1" customWidth="1"/>
    <col min="4879" max="4879" width="10.109375" style="61" customWidth="1"/>
    <col min="4880" max="4880" width="0" style="61" hidden="1" customWidth="1"/>
    <col min="4881" max="4881" width="10" style="61" customWidth="1"/>
    <col min="4882" max="4882" width="12.88671875" style="61" customWidth="1"/>
    <col min="4883" max="5121" width="8.88671875" style="61"/>
    <col min="5122" max="5122" width="4.109375" style="61" customWidth="1"/>
    <col min="5123" max="5123" width="25.5546875" style="61" customWidth="1"/>
    <col min="5124" max="5124" width="0" style="61" hidden="1" customWidth="1"/>
    <col min="5125" max="5125" width="9.109375" style="61" bestFit="1" customWidth="1"/>
    <col min="5126" max="5126" width="9.109375" style="61" customWidth="1"/>
    <col min="5127" max="5127" width="8.88671875" style="61" customWidth="1"/>
    <col min="5128" max="5129" width="10.6640625" style="61" customWidth="1"/>
    <col min="5130" max="5130" width="10" style="61" customWidth="1"/>
    <col min="5131" max="5131" width="10.44140625" style="61" customWidth="1"/>
    <col min="5132" max="5132" width="8.6640625" style="61" customWidth="1"/>
    <col min="5133" max="5133" width="0" style="61" hidden="1" customWidth="1"/>
    <col min="5134" max="5134" width="10.109375" style="61" bestFit="1" customWidth="1"/>
    <col min="5135" max="5135" width="10.109375" style="61" customWidth="1"/>
    <col min="5136" max="5136" width="0" style="61" hidden="1" customWidth="1"/>
    <col min="5137" max="5137" width="10" style="61" customWidth="1"/>
    <col min="5138" max="5138" width="12.88671875" style="61" customWidth="1"/>
    <col min="5139" max="5377" width="8.88671875" style="61"/>
    <col min="5378" max="5378" width="4.109375" style="61" customWidth="1"/>
    <col min="5379" max="5379" width="25.5546875" style="61" customWidth="1"/>
    <col min="5380" max="5380" width="0" style="61" hidden="1" customWidth="1"/>
    <col min="5381" max="5381" width="9.109375" style="61" bestFit="1" customWidth="1"/>
    <col min="5382" max="5382" width="9.109375" style="61" customWidth="1"/>
    <col min="5383" max="5383" width="8.88671875" style="61" customWidth="1"/>
    <col min="5384" max="5385" width="10.6640625" style="61" customWidth="1"/>
    <col min="5386" max="5386" width="10" style="61" customWidth="1"/>
    <col min="5387" max="5387" width="10.44140625" style="61" customWidth="1"/>
    <col min="5388" max="5388" width="8.6640625" style="61" customWidth="1"/>
    <col min="5389" max="5389" width="0" style="61" hidden="1" customWidth="1"/>
    <col min="5390" max="5390" width="10.109375" style="61" bestFit="1" customWidth="1"/>
    <col min="5391" max="5391" width="10.109375" style="61" customWidth="1"/>
    <col min="5392" max="5392" width="0" style="61" hidden="1" customWidth="1"/>
    <col min="5393" max="5393" width="10" style="61" customWidth="1"/>
    <col min="5394" max="5394" width="12.88671875" style="61" customWidth="1"/>
    <col min="5395" max="5633" width="8.88671875" style="61"/>
    <col min="5634" max="5634" width="4.109375" style="61" customWidth="1"/>
    <col min="5635" max="5635" width="25.5546875" style="61" customWidth="1"/>
    <col min="5636" max="5636" width="0" style="61" hidden="1" customWidth="1"/>
    <col min="5637" max="5637" width="9.109375" style="61" bestFit="1" customWidth="1"/>
    <col min="5638" max="5638" width="9.109375" style="61" customWidth="1"/>
    <col min="5639" max="5639" width="8.88671875" style="61" customWidth="1"/>
    <col min="5640" max="5641" width="10.6640625" style="61" customWidth="1"/>
    <col min="5642" max="5642" width="10" style="61" customWidth="1"/>
    <col min="5643" max="5643" width="10.44140625" style="61" customWidth="1"/>
    <col min="5644" max="5644" width="8.6640625" style="61" customWidth="1"/>
    <col min="5645" max="5645" width="0" style="61" hidden="1" customWidth="1"/>
    <col min="5646" max="5646" width="10.109375" style="61" bestFit="1" customWidth="1"/>
    <col min="5647" max="5647" width="10.109375" style="61" customWidth="1"/>
    <col min="5648" max="5648" width="0" style="61" hidden="1" customWidth="1"/>
    <col min="5649" max="5649" width="10" style="61" customWidth="1"/>
    <col min="5650" max="5650" width="12.88671875" style="61" customWidth="1"/>
    <col min="5651" max="5889" width="8.88671875" style="61"/>
    <col min="5890" max="5890" width="4.109375" style="61" customWidth="1"/>
    <col min="5891" max="5891" width="25.5546875" style="61" customWidth="1"/>
    <col min="5892" max="5892" width="0" style="61" hidden="1" customWidth="1"/>
    <col min="5893" max="5893" width="9.109375" style="61" bestFit="1" customWidth="1"/>
    <col min="5894" max="5894" width="9.109375" style="61" customWidth="1"/>
    <col min="5895" max="5895" width="8.88671875" style="61" customWidth="1"/>
    <col min="5896" max="5897" width="10.6640625" style="61" customWidth="1"/>
    <col min="5898" max="5898" width="10" style="61" customWidth="1"/>
    <col min="5899" max="5899" width="10.44140625" style="61" customWidth="1"/>
    <col min="5900" max="5900" width="8.6640625" style="61" customWidth="1"/>
    <col min="5901" max="5901" width="0" style="61" hidden="1" customWidth="1"/>
    <col min="5902" max="5902" width="10.109375" style="61" bestFit="1" customWidth="1"/>
    <col min="5903" max="5903" width="10.109375" style="61" customWidth="1"/>
    <col min="5904" max="5904" width="0" style="61" hidden="1" customWidth="1"/>
    <col min="5905" max="5905" width="10" style="61" customWidth="1"/>
    <col min="5906" max="5906" width="12.88671875" style="61" customWidth="1"/>
    <col min="5907" max="6145" width="8.88671875" style="61"/>
    <col min="6146" max="6146" width="4.109375" style="61" customWidth="1"/>
    <col min="6147" max="6147" width="25.5546875" style="61" customWidth="1"/>
    <col min="6148" max="6148" width="0" style="61" hidden="1" customWidth="1"/>
    <col min="6149" max="6149" width="9.109375" style="61" bestFit="1" customWidth="1"/>
    <col min="6150" max="6150" width="9.109375" style="61" customWidth="1"/>
    <col min="6151" max="6151" width="8.88671875" style="61" customWidth="1"/>
    <col min="6152" max="6153" width="10.6640625" style="61" customWidth="1"/>
    <col min="6154" max="6154" width="10" style="61" customWidth="1"/>
    <col min="6155" max="6155" width="10.44140625" style="61" customWidth="1"/>
    <col min="6156" max="6156" width="8.6640625" style="61" customWidth="1"/>
    <col min="6157" max="6157" width="0" style="61" hidden="1" customWidth="1"/>
    <col min="6158" max="6158" width="10.109375" style="61" bestFit="1" customWidth="1"/>
    <col min="6159" max="6159" width="10.109375" style="61" customWidth="1"/>
    <col min="6160" max="6160" width="0" style="61" hidden="1" customWidth="1"/>
    <col min="6161" max="6161" width="10" style="61" customWidth="1"/>
    <col min="6162" max="6162" width="12.88671875" style="61" customWidth="1"/>
    <col min="6163" max="6401" width="8.88671875" style="61"/>
    <col min="6402" max="6402" width="4.109375" style="61" customWidth="1"/>
    <col min="6403" max="6403" width="25.5546875" style="61" customWidth="1"/>
    <col min="6404" max="6404" width="0" style="61" hidden="1" customWidth="1"/>
    <col min="6405" max="6405" width="9.109375" style="61" bestFit="1" customWidth="1"/>
    <col min="6406" max="6406" width="9.109375" style="61" customWidth="1"/>
    <col min="6407" max="6407" width="8.88671875" style="61" customWidth="1"/>
    <col min="6408" max="6409" width="10.6640625" style="61" customWidth="1"/>
    <col min="6410" max="6410" width="10" style="61" customWidth="1"/>
    <col min="6411" max="6411" width="10.44140625" style="61" customWidth="1"/>
    <col min="6412" max="6412" width="8.6640625" style="61" customWidth="1"/>
    <col min="6413" max="6413" width="0" style="61" hidden="1" customWidth="1"/>
    <col min="6414" max="6414" width="10.109375" style="61" bestFit="1" customWidth="1"/>
    <col min="6415" max="6415" width="10.109375" style="61" customWidth="1"/>
    <col min="6416" max="6416" width="0" style="61" hidden="1" customWidth="1"/>
    <col min="6417" max="6417" width="10" style="61" customWidth="1"/>
    <col min="6418" max="6418" width="12.88671875" style="61" customWidth="1"/>
    <col min="6419" max="6657" width="8.88671875" style="61"/>
    <col min="6658" max="6658" width="4.109375" style="61" customWidth="1"/>
    <col min="6659" max="6659" width="25.5546875" style="61" customWidth="1"/>
    <col min="6660" max="6660" width="0" style="61" hidden="1" customWidth="1"/>
    <col min="6661" max="6661" width="9.109375" style="61" bestFit="1" customWidth="1"/>
    <col min="6662" max="6662" width="9.109375" style="61" customWidth="1"/>
    <col min="6663" max="6663" width="8.88671875" style="61" customWidth="1"/>
    <col min="6664" max="6665" width="10.6640625" style="61" customWidth="1"/>
    <col min="6666" max="6666" width="10" style="61" customWidth="1"/>
    <col min="6667" max="6667" width="10.44140625" style="61" customWidth="1"/>
    <col min="6668" max="6668" width="8.6640625" style="61" customWidth="1"/>
    <col min="6669" max="6669" width="0" style="61" hidden="1" customWidth="1"/>
    <col min="6670" max="6670" width="10.109375" style="61" bestFit="1" customWidth="1"/>
    <col min="6671" max="6671" width="10.109375" style="61" customWidth="1"/>
    <col min="6672" max="6672" width="0" style="61" hidden="1" customWidth="1"/>
    <col min="6673" max="6673" width="10" style="61" customWidth="1"/>
    <col min="6674" max="6674" width="12.88671875" style="61" customWidth="1"/>
    <col min="6675" max="6913" width="8.88671875" style="61"/>
    <col min="6914" max="6914" width="4.109375" style="61" customWidth="1"/>
    <col min="6915" max="6915" width="25.5546875" style="61" customWidth="1"/>
    <col min="6916" max="6916" width="0" style="61" hidden="1" customWidth="1"/>
    <col min="6917" max="6917" width="9.109375" style="61" bestFit="1" customWidth="1"/>
    <col min="6918" max="6918" width="9.109375" style="61" customWidth="1"/>
    <col min="6919" max="6919" width="8.88671875" style="61" customWidth="1"/>
    <col min="6920" max="6921" width="10.6640625" style="61" customWidth="1"/>
    <col min="6922" max="6922" width="10" style="61" customWidth="1"/>
    <col min="6923" max="6923" width="10.44140625" style="61" customWidth="1"/>
    <col min="6924" max="6924" width="8.6640625" style="61" customWidth="1"/>
    <col min="6925" max="6925" width="0" style="61" hidden="1" customWidth="1"/>
    <col min="6926" max="6926" width="10.109375" style="61" bestFit="1" customWidth="1"/>
    <col min="6927" max="6927" width="10.109375" style="61" customWidth="1"/>
    <col min="6928" max="6928" width="0" style="61" hidden="1" customWidth="1"/>
    <col min="6929" max="6929" width="10" style="61" customWidth="1"/>
    <col min="6930" max="6930" width="12.88671875" style="61" customWidth="1"/>
    <col min="6931" max="7169" width="8.88671875" style="61"/>
    <col min="7170" max="7170" width="4.109375" style="61" customWidth="1"/>
    <col min="7171" max="7171" width="25.5546875" style="61" customWidth="1"/>
    <col min="7172" max="7172" width="0" style="61" hidden="1" customWidth="1"/>
    <col min="7173" max="7173" width="9.109375" style="61" bestFit="1" customWidth="1"/>
    <col min="7174" max="7174" width="9.109375" style="61" customWidth="1"/>
    <col min="7175" max="7175" width="8.88671875" style="61" customWidth="1"/>
    <col min="7176" max="7177" width="10.6640625" style="61" customWidth="1"/>
    <col min="7178" max="7178" width="10" style="61" customWidth="1"/>
    <col min="7179" max="7179" width="10.44140625" style="61" customWidth="1"/>
    <col min="7180" max="7180" width="8.6640625" style="61" customWidth="1"/>
    <col min="7181" max="7181" width="0" style="61" hidden="1" customWidth="1"/>
    <col min="7182" max="7182" width="10.109375" style="61" bestFit="1" customWidth="1"/>
    <col min="7183" max="7183" width="10.109375" style="61" customWidth="1"/>
    <col min="7184" max="7184" width="0" style="61" hidden="1" customWidth="1"/>
    <col min="7185" max="7185" width="10" style="61" customWidth="1"/>
    <col min="7186" max="7186" width="12.88671875" style="61" customWidth="1"/>
    <col min="7187" max="7425" width="8.88671875" style="61"/>
    <col min="7426" max="7426" width="4.109375" style="61" customWidth="1"/>
    <col min="7427" max="7427" width="25.5546875" style="61" customWidth="1"/>
    <col min="7428" max="7428" width="0" style="61" hidden="1" customWidth="1"/>
    <col min="7429" max="7429" width="9.109375" style="61" bestFit="1" customWidth="1"/>
    <col min="7430" max="7430" width="9.109375" style="61" customWidth="1"/>
    <col min="7431" max="7431" width="8.88671875" style="61" customWidth="1"/>
    <col min="7432" max="7433" width="10.6640625" style="61" customWidth="1"/>
    <col min="7434" max="7434" width="10" style="61" customWidth="1"/>
    <col min="7435" max="7435" width="10.44140625" style="61" customWidth="1"/>
    <col min="7436" max="7436" width="8.6640625" style="61" customWidth="1"/>
    <col min="7437" max="7437" width="0" style="61" hidden="1" customWidth="1"/>
    <col min="7438" max="7438" width="10.109375" style="61" bestFit="1" customWidth="1"/>
    <col min="7439" max="7439" width="10.109375" style="61" customWidth="1"/>
    <col min="7440" max="7440" width="0" style="61" hidden="1" customWidth="1"/>
    <col min="7441" max="7441" width="10" style="61" customWidth="1"/>
    <col min="7442" max="7442" width="12.88671875" style="61" customWidth="1"/>
    <col min="7443" max="7681" width="8.88671875" style="61"/>
    <col min="7682" max="7682" width="4.109375" style="61" customWidth="1"/>
    <col min="7683" max="7683" width="25.5546875" style="61" customWidth="1"/>
    <col min="7684" max="7684" width="0" style="61" hidden="1" customWidth="1"/>
    <col min="7685" max="7685" width="9.109375" style="61" bestFit="1" customWidth="1"/>
    <col min="7686" max="7686" width="9.109375" style="61" customWidth="1"/>
    <col min="7687" max="7687" width="8.88671875" style="61" customWidth="1"/>
    <col min="7688" max="7689" width="10.6640625" style="61" customWidth="1"/>
    <col min="7690" max="7690" width="10" style="61" customWidth="1"/>
    <col min="7691" max="7691" width="10.44140625" style="61" customWidth="1"/>
    <col min="7692" max="7692" width="8.6640625" style="61" customWidth="1"/>
    <col min="7693" max="7693" width="0" style="61" hidden="1" customWidth="1"/>
    <col min="7694" max="7694" width="10.109375" style="61" bestFit="1" customWidth="1"/>
    <col min="7695" max="7695" width="10.109375" style="61" customWidth="1"/>
    <col min="7696" max="7696" width="0" style="61" hidden="1" customWidth="1"/>
    <col min="7697" max="7697" width="10" style="61" customWidth="1"/>
    <col min="7698" max="7698" width="12.88671875" style="61" customWidth="1"/>
    <col min="7699" max="7937" width="8.88671875" style="61"/>
    <col min="7938" max="7938" width="4.109375" style="61" customWidth="1"/>
    <col min="7939" max="7939" width="25.5546875" style="61" customWidth="1"/>
    <col min="7940" max="7940" width="0" style="61" hidden="1" customWidth="1"/>
    <col min="7941" max="7941" width="9.109375" style="61" bestFit="1" customWidth="1"/>
    <col min="7942" max="7942" width="9.109375" style="61" customWidth="1"/>
    <col min="7943" max="7943" width="8.88671875" style="61" customWidth="1"/>
    <col min="7944" max="7945" width="10.6640625" style="61" customWidth="1"/>
    <col min="7946" max="7946" width="10" style="61" customWidth="1"/>
    <col min="7947" max="7947" width="10.44140625" style="61" customWidth="1"/>
    <col min="7948" max="7948" width="8.6640625" style="61" customWidth="1"/>
    <col min="7949" max="7949" width="0" style="61" hidden="1" customWidth="1"/>
    <col min="7950" max="7950" width="10.109375" style="61" bestFit="1" customWidth="1"/>
    <col min="7951" max="7951" width="10.109375" style="61" customWidth="1"/>
    <col min="7952" max="7952" width="0" style="61" hidden="1" customWidth="1"/>
    <col min="7953" max="7953" width="10" style="61" customWidth="1"/>
    <col min="7954" max="7954" width="12.88671875" style="61" customWidth="1"/>
    <col min="7955" max="8193" width="8.88671875" style="61"/>
    <col min="8194" max="8194" width="4.109375" style="61" customWidth="1"/>
    <col min="8195" max="8195" width="25.5546875" style="61" customWidth="1"/>
    <col min="8196" max="8196" width="0" style="61" hidden="1" customWidth="1"/>
    <col min="8197" max="8197" width="9.109375" style="61" bestFit="1" customWidth="1"/>
    <col min="8198" max="8198" width="9.109375" style="61" customWidth="1"/>
    <col min="8199" max="8199" width="8.88671875" style="61" customWidth="1"/>
    <col min="8200" max="8201" width="10.6640625" style="61" customWidth="1"/>
    <col min="8202" max="8202" width="10" style="61" customWidth="1"/>
    <col min="8203" max="8203" width="10.44140625" style="61" customWidth="1"/>
    <col min="8204" max="8204" width="8.6640625" style="61" customWidth="1"/>
    <col min="8205" max="8205" width="0" style="61" hidden="1" customWidth="1"/>
    <col min="8206" max="8206" width="10.109375" style="61" bestFit="1" customWidth="1"/>
    <col min="8207" max="8207" width="10.109375" style="61" customWidth="1"/>
    <col min="8208" max="8208" width="0" style="61" hidden="1" customWidth="1"/>
    <col min="8209" max="8209" width="10" style="61" customWidth="1"/>
    <col min="8210" max="8210" width="12.88671875" style="61" customWidth="1"/>
    <col min="8211" max="8449" width="8.88671875" style="61"/>
    <col min="8450" max="8450" width="4.109375" style="61" customWidth="1"/>
    <col min="8451" max="8451" width="25.5546875" style="61" customWidth="1"/>
    <col min="8452" max="8452" width="0" style="61" hidden="1" customWidth="1"/>
    <col min="8453" max="8453" width="9.109375" style="61" bestFit="1" customWidth="1"/>
    <col min="8454" max="8454" width="9.109375" style="61" customWidth="1"/>
    <col min="8455" max="8455" width="8.88671875" style="61" customWidth="1"/>
    <col min="8456" max="8457" width="10.6640625" style="61" customWidth="1"/>
    <col min="8458" max="8458" width="10" style="61" customWidth="1"/>
    <col min="8459" max="8459" width="10.44140625" style="61" customWidth="1"/>
    <col min="8460" max="8460" width="8.6640625" style="61" customWidth="1"/>
    <col min="8461" max="8461" width="0" style="61" hidden="1" customWidth="1"/>
    <col min="8462" max="8462" width="10.109375" style="61" bestFit="1" customWidth="1"/>
    <col min="8463" max="8463" width="10.109375" style="61" customWidth="1"/>
    <col min="8464" max="8464" width="0" style="61" hidden="1" customWidth="1"/>
    <col min="8465" max="8465" width="10" style="61" customWidth="1"/>
    <col min="8466" max="8466" width="12.88671875" style="61" customWidth="1"/>
    <col min="8467" max="8705" width="8.88671875" style="61"/>
    <col min="8706" max="8706" width="4.109375" style="61" customWidth="1"/>
    <col min="8707" max="8707" width="25.5546875" style="61" customWidth="1"/>
    <col min="8708" max="8708" width="0" style="61" hidden="1" customWidth="1"/>
    <col min="8709" max="8709" width="9.109375" style="61" bestFit="1" customWidth="1"/>
    <col min="8710" max="8710" width="9.109375" style="61" customWidth="1"/>
    <col min="8711" max="8711" width="8.88671875" style="61" customWidth="1"/>
    <col min="8712" max="8713" width="10.6640625" style="61" customWidth="1"/>
    <col min="8714" max="8714" width="10" style="61" customWidth="1"/>
    <col min="8715" max="8715" width="10.44140625" style="61" customWidth="1"/>
    <col min="8716" max="8716" width="8.6640625" style="61" customWidth="1"/>
    <col min="8717" max="8717" width="0" style="61" hidden="1" customWidth="1"/>
    <col min="8718" max="8718" width="10.109375" style="61" bestFit="1" customWidth="1"/>
    <col min="8719" max="8719" width="10.109375" style="61" customWidth="1"/>
    <col min="8720" max="8720" width="0" style="61" hidden="1" customWidth="1"/>
    <col min="8721" max="8721" width="10" style="61" customWidth="1"/>
    <col min="8722" max="8722" width="12.88671875" style="61" customWidth="1"/>
    <col min="8723" max="8961" width="8.88671875" style="61"/>
    <col min="8962" max="8962" width="4.109375" style="61" customWidth="1"/>
    <col min="8963" max="8963" width="25.5546875" style="61" customWidth="1"/>
    <col min="8964" max="8964" width="0" style="61" hidden="1" customWidth="1"/>
    <col min="8965" max="8965" width="9.109375" style="61" bestFit="1" customWidth="1"/>
    <col min="8966" max="8966" width="9.109375" style="61" customWidth="1"/>
    <col min="8967" max="8967" width="8.88671875" style="61" customWidth="1"/>
    <col min="8968" max="8969" width="10.6640625" style="61" customWidth="1"/>
    <col min="8970" max="8970" width="10" style="61" customWidth="1"/>
    <col min="8971" max="8971" width="10.44140625" style="61" customWidth="1"/>
    <col min="8972" max="8972" width="8.6640625" style="61" customWidth="1"/>
    <col min="8973" max="8973" width="0" style="61" hidden="1" customWidth="1"/>
    <col min="8974" max="8974" width="10.109375" style="61" bestFit="1" customWidth="1"/>
    <col min="8975" max="8975" width="10.109375" style="61" customWidth="1"/>
    <col min="8976" max="8976" width="0" style="61" hidden="1" customWidth="1"/>
    <col min="8977" max="8977" width="10" style="61" customWidth="1"/>
    <col min="8978" max="8978" width="12.88671875" style="61" customWidth="1"/>
    <col min="8979" max="9217" width="8.88671875" style="61"/>
    <col min="9218" max="9218" width="4.109375" style="61" customWidth="1"/>
    <col min="9219" max="9219" width="25.5546875" style="61" customWidth="1"/>
    <col min="9220" max="9220" width="0" style="61" hidden="1" customWidth="1"/>
    <col min="9221" max="9221" width="9.109375" style="61" bestFit="1" customWidth="1"/>
    <col min="9222" max="9222" width="9.109375" style="61" customWidth="1"/>
    <col min="9223" max="9223" width="8.88671875" style="61" customWidth="1"/>
    <col min="9224" max="9225" width="10.6640625" style="61" customWidth="1"/>
    <col min="9226" max="9226" width="10" style="61" customWidth="1"/>
    <col min="9227" max="9227" width="10.44140625" style="61" customWidth="1"/>
    <col min="9228" max="9228" width="8.6640625" style="61" customWidth="1"/>
    <col min="9229" max="9229" width="0" style="61" hidden="1" customWidth="1"/>
    <col min="9230" max="9230" width="10.109375" style="61" bestFit="1" customWidth="1"/>
    <col min="9231" max="9231" width="10.109375" style="61" customWidth="1"/>
    <col min="9232" max="9232" width="0" style="61" hidden="1" customWidth="1"/>
    <col min="9233" max="9233" width="10" style="61" customWidth="1"/>
    <col min="9234" max="9234" width="12.88671875" style="61" customWidth="1"/>
    <col min="9235" max="9473" width="8.88671875" style="61"/>
    <col min="9474" max="9474" width="4.109375" style="61" customWidth="1"/>
    <col min="9475" max="9475" width="25.5546875" style="61" customWidth="1"/>
    <col min="9476" max="9476" width="0" style="61" hidden="1" customWidth="1"/>
    <col min="9477" max="9477" width="9.109375" style="61" bestFit="1" customWidth="1"/>
    <col min="9478" max="9478" width="9.109375" style="61" customWidth="1"/>
    <col min="9479" max="9479" width="8.88671875" style="61" customWidth="1"/>
    <col min="9480" max="9481" width="10.6640625" style="61" customWidth="1"/>
    <col min="9482" max="9482" width="10" style="61" customWidth="1"/>
    <col min="9483" max="9483" width="10.44140625" style="61" customWidth="1"/>
    <col min="9484" max="9484" width="8.6640625" style="61" customWidth="1"/>
    <col min="9485" max="9485" width="0" style="61" hidden="1" customWidth="1"/>
    <col min="9486" max="9486" width="10.109375" style="61" bestFit="1" customWidth="1"/>
    <col min="9487" max="9487" width="10.109375" style="61" customWidth="1"/>
    <col min="9488" max="9488" width="0" style="61" hidden="1" customWidth="1"/>
    <col min="9489" max="9489" width="10" style="61" customWidth="1"/>
    <col min="9490" max="9490" width="12.88671875" style="61" customWidth="1"/>
    <col min="9491" max="9729" width="8.88671875" style="61"/>
    <col min="9730" max="9730" width="4.109375" style="61" customWidth="1"/>
    <col min="9731" max="9731" width="25.5546875" style="61" customWidth="1"/>
    <col min="9732" max="9732" width="0" style="61" hidden="1" customWidth="1"/>
    <col min="9733" max="9733" width="9.109375" style="61" bestFit="1" customWidth="1"/>
    <col min="9734" max="9734" width="9.109375" style="61" customWidth="1"/>
    <col min="9735" max="9735" width="8.88671875" style="61" customWidth="1"/>
    <col min="9736" max="9737" width="10.6640625" style="61" customWidth="1"/>
    <col min="9738" max="9738" width="10" style="61" customWidth="1"/>
    <col min="9739" max="9739" width="10.44140625" style="61" customWidth="1"/>
    <col min="9740" max="9740" width="8.6640625" style="61" customWidth="1"/>
    <col min="9741" max="9741" width="0" style="61" hidden="1" customWidth="1"/>
    <col min="9742" max="9742" width="10.109375" style="61" bestFit="1" customWidth="1"/>
    <col min="9743" max="9743" width="10.109375" style="61" customWidth="1"/>
    <col min="9744" max="9744" width="0" style="61" hidden="1" customWidth="1"/>
    <col min="9745" max="9745" width="10" style="61" customWidth="1"/>
    <col min="9746" max="9746" width="12.88671875" style="61" customWidth="1"/>
    <col min="9747" max="9985" width="8.88671875" style="61"/>
    <col min="9986" max="9986" width="4.109375" style="61" customWidth="1"/>
    <col min="9987" max="9987" width="25.5546875" style="61" customWidth="1"/>
    <col min="9988" max="9988" width="0" style="61" hidden="1" customWidth="1"/>
    <col min="9989" max="9989" width="9.109375" style="61" bestFit="1" customWidth="1"/>
    <col min="9990" max="9990" width="9.109375" style="61" customWidth="1"/>
    <col min="9991" max="9991" width="8.88671875" style="61" customWidth="1"/>
    <col min="9992" max="9993" width="10.6640625" style="61" customWidth="1"/>
    <col min="9994" max="9994" width="10" style="61" customWidth="1"/>
    <col min="9995" max="9995" width="10.44140625" style="61" customWidth="1"/>
    <col min="9996" max="9996" width="8.6640625" style="61" customWidth="1"/>
    <col min="9997" max="9997" width="0" style="61" hidden="1" customWidth="1"/>
    <col min="9998" max="9998" width="10.109375" style="61" bestFit="1" customWidth="1"/>
    <col min="9999" max="9999" width="10.109375" style="61" customWidth="1"/>
    <col min="10000" max="10000" width="0" style="61" hidden="1" customWidth="1"/>
    <col min="10001" max="10001" width="10" style="61" customWidth="1"/>
    <col min="10002" max="10002" width="12.88671875" style="61" customWidth="1"/>
    <col min="10003" max="10241" width="8.88671875" style="61"/>
    <col min="10242" max="10242" width="4.109375" style="61" customWidth="1"/>
    <col min="10243" max="10243" width="25.5546875" style="61" customWidth="1"/>
    <col min="10244" max="10244" width="0" style="61" hidden="1" customWidth="1"/>
    <col min="10245" max="10245" width="9.109375" style="61" bestFit="1" customWidth="1"/>
    <col min="10246" max="10246" width="9.109375" style="61" customWidth="1"/>
    <col min="10247" max="10247" width="8.88671875" style="61" customWidth="1"/>
    <col min="10248" max="10249" width="10.6640625" style="61" customWidth="1"/>
    <col min="10250" max="10250" width="10" style="61" customWidth="1"/>
    <col min="10251" max="10251" width="10.44140625" style="61" customWidth="1"/>
    <col min="10252" max="10252" width="8.6640625" style="61" customWidth="1"/>
    <col min="10253" max="10253" width="0" style="61" hidden="1" customWidth="1"/>
    <col min="10254" max="10254" width="10.109375" style="61" bestFit="1" customWidth="1"/>
    <col min="10255" max="10255" width="10.109375" style="61" customWidth="1"/>
    <col min="10256" max="10256" width="0" style="61" hidden="1" customWidth="1"/>
    <col min="10257" max="10257" width="10" style="61" customWidth="1"/>
    <col min="10258" max="10258" width="12.88671875" style="61" customWidth="1"/>
    <col min="10259" max="10497" width="8.88671875" style="61"/>
    <col min="10498" max="10498" width="4.109375" style="61" customWidth="1"/>
    <col min="10499" max="10499" width="25.5546875" style="61" customWidth="1"/>
    <col min="10500" max="10500" width="0" style="61" hidden="1" customWidth="1"/>
    <col min="10501" max="10501" width="9.109375" style="61" bestFit="1" customWidth="1"/>
    <col min="10502" max="10502" width="9.109375" style="61" customWidth="1"/>
    <col min="10503" max="10503" width="8.88671875" style="61" customWidth="1"/>
    <col min="10504" max="10505" width="10.6640625" style="61" customWidth="1"/>
    <col min="10506" max="10506" width="10" style="61" customWidth="1"/>
    <col min="10507" max="10507" width="10.44140625" style="61" customWidth="1"/>
    <col min="10508" max="10508" width="8.6640625" style="61" customWidth="1"/>
    <col min="10509" max="10509" width="0" style="61" hidden="1" customWidth="1"/>
    <col min="10510" max="10510" width="10.109375" style="61" bestFit="1" customWidth="1"/>
    <col min="10511" max="10511" width="10.109375" style="61" customWidth="1"/>
    <col min="10512" max="10512" width="0" style="61" hidden="1" customWidth="1"/>
    <col min="10513" max="10513" width="10" style="61" customWidth="1"/>
    <col min="10514" max="10514" width="12.88671875" style="61" customWidth="1"/>
    <col min="10515" max="10753" width="8.88671875" style="61"/>
    <col min="10754" max="10754" width="4.109375" style="61" customWidth="1"/>
    <col min="10755" max="10755" width="25.5546875" style="61" customWidth="1"/>
    <col min="10756" max="10756" width="0" style="61" hidden="1" customWidth="1"/>
    <col min="10757" max="10757" width="9.109375" style="61" bestFit="1" customWidth="1"/>
    <col min="10758" max="10758" width="9.109375" style="61" customWidth="1"/>
    <col min="10759" max="10759" width="8.88671875" style="61" customWidth="1"/>
    <col min="10760" max="10761" width="10.6640625" style="61" customWidth="1"/>
    <col min="10762" max="10762" width="10" style="61" customWidth="1"/>
    <col min="10763" max="10763" width="10.44140625" style="61" customWidth="1"/>
    <col min="10764" max="10764" width="8.6640625" style="61" customWidth="1"/>
    <col min="10765" max="10765" width="0" style="61" hidden="1" customWidth="1"/>
    <col min="10766" max="10766" width="10.109375" style="61" bestFit="1" customWidth="1"/>
    <col min="10767" max="10767" width="10.109375" style="61" customWidth="1"/>
    <col min="10768" max="10768" width="0" style="61" hidden="1" customWidth="1"/>
    <col min="10769" max="10769" width="10" style="61" customWidth="1"/>
    <col min="10770" max="10770" width="12.88671875" style="61" customWidth="1"/>
    <col min="10771" max="11009" width="8.88671875" style="61"/>
    <col min="11010" max="11010" width="4.109375" style="61" customWidth="1"/>
    <col min="11011" max="11011" width="25.5546875" style="61" customWidth="1"/>
    <col min="11012" max="11012" width="0" style="61" hidden="1" customWidth="1"/>
    <col min="11013" max="11013" width="9.109375" style="61" bestFit="1" customWidth="1"/>
    <col min="11014" max="11014" width="9.109375" style="61" customWidth="1"/>
    <col min="11015" max="11015" width="8.88671875" style="61" customWidth="1"/>
    <col min="11016" max="11017" width="10.6640625" style="61" customWidth="1"/>
    <col min="11018" max="11018" width="10" style="61" customWidth="1"/>
    <col min="11019" max="11019" width="10.44140625" style="61" customWidth="1"/>
    <col min="11020" max="11020" width="8.6640625" style="61" customWidth="1"/>
    <col min="11021" max="11021" width="0" style="61" hidden="1" customWidth="1"/>
    <col min="11022" max="11022" width="10.109375" style="61" bestFit="1" customWidth="1"/>
    <col min="11023" max="11023" width="10.109375" style="61" customWidth="1"/>
    <col min="11024" max="11024" width="0" style="61" hidden="1" customWidth="1"/>
    <col min="11025" max="11025" width="10" style="61" customWidth="1"/>
    <col min="11026" max="11026" width="12.88671875" style="61" customWidth="1"/>
    <col min="11027" max="11265" width="8.88671875" style="61"/>
    <col min="11266" max="11266" width="4.109375" style="61" customWidth="1"/>
    <col min="11267" max="11267" width="25.5546875" style="61" customWidth="1"/>
    <col min="11268" max="11268" width="0" style="61" hidden="1" customWidth="1"/>
    <col min="11269" max="11269" width="9.109375" style="61" bestFit="1" customWidth="1"/>
    <col min="11270" max="11270" width="9.109375" style="61" customWidth="1"/>
    <col min="11271" max="11271" width="8.88671875" style="61" customWidth="1"/>
    <col min="11272" max="11273" width="10.6640625" style="61" customWidth="1"/>
    <col min="11274" max="11274" width="10" style="61" customWidth="1"/>
    <col min="11275" max="11275" width="10.44140625" style="61" customWidth="1"/>
    <col min="11276" max="11276" width="8.6640625" style="61" customWidth="1"/>
    <col min="11277" max="11277" width="0" style="61" hidden="1" customWidth="1"/>
    <col min="11278" max="11278" width="10.109375" style="61" bestFit="1" customWidth="1"/>
    <col min="11279" max="11279" width="10.109375" style="61" customWidth="1"/>
    <col min="11280" max="11280" width="0" style="61" hidden="1" customWidth="1"/>
    <col min="11281" max="11281" width="10" style="61" customWidth="1"/>
    <col min="11282" max="11282" width="12.88671875" style="61" customWidth="1"/>
    <col min="11283" max="11521" width="8.88671875" style="61"/>
    <col min="11522" max="11522" width="4.109375" style="61" customWidth="1"/>
    <col min="11523" max="11523" width="25.5546875" style="61" customWidth="1"/>
    <col min="11524" max="11524" width="0" style="61" hidden="1" customWidth="1"/>
    <col min="11525" max="11525" width="9.109375" style="61" bestFit="1" customWidth="1"/>
    <col min="11526" max="11526" width="9.109375" style="61" customWidth="1"/>
    <col min="11527" max="11527" width="8.88671875" style="61" customWidth="1"/>
    <col min="11528" max="11529" width="10.6640625" style="61" customWidth="1"/>
    <col min="11530" max="11530" width="10" style="61" customWidth="1"/>
    <col min="11531" max="11531" width="10.44140625" style="61" customWidth="1"/>
    <col min="11532" max="11532" width="8.6640625" style="61" customWidth="1"/>
    <col min="11533" max="11533" width="0" style="61" hidden="1" customWidth="1"/>
    <col min="11534" max="11534" width="10.109375" style="61" bestFit="1" customWidth="1"/>
    <col min="11535" max="11535" width="10.109375" style="61" customWidth="1"/>
    <col min="11536" max="11536" width="0" style="61" hidden="1" customWidth="1"/>
    <col min="11537" max="11537" width="10" style="61" customWidth="1"/>
    <col min="11538" max="11538" width="12.88671875" style="61" customWidth="1"/>
    <col min="11539" max="11777" width="8.88671875" style="61"/>
    <col min="11778" max="11778" width="4.109375" style="61" customWidth="1"/>
    <col min="11779" max="11779" width="25.5546875" style="61" customWidth="1"/>
    <col min="11780" max="11780" width="0" style="61" hidden="1" customWidth="1"/>
    <col min="11781" max="11781" width="9.109375" style="61" bestFit="1" customWidth="1"/>
    <col min="11782" max="11782" width="9.109375" style="61" customWidth="1"/>
    <col min="11783" max="11783" width="8.88671875" style="61" customWidth="1"/>
    <col min="11784" max="11785" width="10.6640625" style="61" customWidth="1"/>
    <col min="11786" max="11786" width="10" style="61" customWidth="1"/>
    <col min="11787" max="11787" width="10.44140625" style="61" customWidth="1"/>
    <col min="11788" max="11788" width="8.6640625" style="61" customWidth="1"/>
    <col min="11789" max="11789" width="0" style="61" hidden="1" customWidth="1"/>
    <col min="11790" max="11790" width="10.109375" style="61" bestFit="1" customWidth="1"/>
    <col min="11791" max="11791" width="10.109375" style="61" customWidth="1"/>
    <col min="11792" max="11792" width="0" style="61" hidden="1" customWidth="1"/>
    <col min="11793" max="11793" width="10" style="61" customWidth="1"/>
    <col min="11794" max="11794" width="12.88671875" style="61" customWidth="1"/>
    <col min="11795" max="12033" width="8.88671875" style="61"/>
    <col min="12034" max="12034" width="4.109375" style="61" customWidth="1"/>
    <col min="12035" max="12035" width="25.5546875" style="61" customWidth="1"/>
    <col min="12036" max="12036" width="0" style="61" hidden="1" customWidth="1"/>
    <col min="12037" max="12037" width="9.109375" style="61" bestFit="1" customWidth="1"/>
    <col min="12038" max="12038" width="9.109375" style="61" customWidth="1"/>
    <col min="12039" max="12039" width="8.88671875" style="61" customWidth="1"/>
    <col min="12040" max="12041" width="10.6640625" style="61" customWidth="1"/>
    <col min="12042" max="12042" width="10" style="61" customWidth="1"/>
    <col min="12043" max="12043" width="10.44140625" style="61" customWidth="1"/>
    <col min="12044" max="12044" width="8.6640625" style="61" customWidth="1"/>
    <col min="12045" max="12045" width="0" style="61" hidden="1" customWidth="1"/>
    <col min="12046" max="12046" width="10.109375" style="61" bestFit="1" customWidth="1"/>
    <col min="12047" max="12047" width="10.109375" style="61" customWidth="1"/>
    <col min="12048" max="12048" width="0" style="61" hidden="1" customWidth="1"/>
    <col min="12049" max="12049" width="10" style="61" customWidth="1"/>
    <col min="12050" max="12050" width="12.88671875" style="61" customWidth="1"/>
    <col min="12051" max="12289" width="8.88671875" style="61"/>
    <col min="12290" max="12290" width="4.109375" style="61" customWidth="1"/>
    <col min="12291" max="12291" width="25.5546875" style="61" customWidth="1"/>
    <col min="12292" max="12292" width="0" style="61" hidden="1" customWidth="1"/>
    <col min="12293" max="12293" width="9.109375" style="61" bestFit="1" customWidth="1"/>
    <col min="12294" max="12294" width="9.109375" style="61" customWidth="1"/>
    <col min="12295" max="12295" width="8.88671875" style="61" customWidth="1"/>
    <col min="12296" max="12297" width="10.6640625" style="61" customWidth="1"/>
    <col min="12298" max="12298" width="10" style="61" customWidth="1"/>
    <col min="12299" max="12299" width="10.44140625" style="61" customWidth="1"/>
    <col min="12300" max="12300" width="8.6640625" style="61" customWidth="1"/>
    <col min="12301" max="12301" width="0" style="61" hidden="1" customWidth="1"/>
    <col min="12302" max="12302" width="10.109375" style="61" bestFit="1" customWidth="1"/>
    <col min="12303" max="12303" width="10.109375" style="61" customWidth="1"/>
    <col min="12304" max="12304" width="0" style="61" hidden="1" customWidth="1"/>
    <col min="12305" max="12305" width="10" style="61" customWidth="1"/>
    <col min="12306" max="12306" width="12.88671875" style="61" customWidth="1"/>
    <col min="12307" max="12545" width="8.88671875" style="61"/>
    <col min="12546" max="12546" width="4.109375" style="61" customWidth="1"/>
    <col min="12547" max="12547" width="25.5546875" style="61" customWidth="1"/>
    <col min="12548" max="12548" width="0" style="61" hidden="1" customWidth="1"/>
    <col min="12549" max="12549" width="9.109375" style="61" bestFit="1" customWidth="1"/>
    <col min="12550" max="12550" width="9.109375" style="61" customWidth="1"/>
    <col min="12551" max="12551" width="8.88671875" style="61" customWidth="1"/>
    <col min="12552" max="12553" width="10.6640625" style="61" customWidth="1"/>
    <col min="12554" max="12554" width="10" style="61" customWidth="1"/>
    <col min="12555" max="12555" width="10.44140625" style="61" customWidth="1"/>
    <col min="12556" max="12556" width="8.6640625" style="61" customWidth="1"/>
    <col min="12557" max="12557" width="0" style="61" hidden="1" customWidth="1"/>
    <col min="12558" max="12558" width="10.109375" style="61" bestFit="1" customWidth="1"/>
    <col min="12559" max="12559" width="10.109375" style="61" customWidth="1"/>
    <col min="12560" max="12560" width="0" style="61" hidden="1" customWidth="1"/>
    <col min="12561" max="12561" width="10" style="61" customWidth="1"/>
    <col min="12562" max="12562" width="12.88671875" style="61" customWidth="1"/>
    <col min="12563" max="12801" width="8.88671875" style="61"/>
    <col min="12802" max="12802" width="4.109375" style="61" customWidth="1"/>
    <col min="12803" max="12803" width="25.5546875" style="61" customWidth="1"/>
    <col min="12804" max="12804" width="0" style="61" hidden="1" customWidth="1"/>
    <col min="12805" max="12805" width="9.109375" style="61" bestFit="1" customWidth="1"/>
    <col min="12806" max="12806" width="9.109375" style="61" customWidth="1"/>
    <col min="12807" max="12807" width="8.88671875" style="61" customWidth="1"/>
    <col min="12808" max="12809" width="10.6640625" style="61" customWidth="1"/>
    <col min="12810" max="12810" width="10" style="61" customWidth="1"/>
    <col min="12811" max="12811" width="10.44140625" style="61" customWidth="1"/>
    <col min="12812" max="12812" width="8.6640625" style="61" customWidth="1"/>
    <col min="12813" max="12813" width="0" style="61" hidden="1" customWidth="1"/>
    <col min="12814" max="12814" width="10.109375" style="61" bestFit="1" customWidth="1"/>
    <col min="12815" max="12815" width="10.109375" style="61" customWidth="1"/>
    <col min="12816" max="12816" width="0" style="61" hidden="1" customWidth="1"/>
    <col min="12817" max="12817" width="10" style="61" customWidth="1"/>
    <col min="12818" max="12818" width="12.88671875" style="61" customWidth="1"/>
    <col min="12819" max="13057" width="8.88671875" style="61"/>
    <col min="13058" max="13058" width="4.109375" style="61" customWidth="1"/>
    <col min="13059" max="13059" width="25.5546875" style="61" customWidth="1"/>
    <col min="13060" max="13060" width="0" style="61" hidden="1" customWidth="1"/>
    <col min="13061" max="13061" width="9.109375" style="61" bestFit="1" customWidth="1"/>
    <col min="13062" max="13062" width="9.109375" style="61" customWidth="1"/>
    <col min="13063" max="13063" width="8.88671875" style="61" customWidth="1"/>
    <col min="13064" max="13065" width="10.6640625" style="61" customWidth="1"/>
    <col min="13066" max="13066" width="10" style="61" customWidth="1"/>
    <col min="13067" max="13067" width="10.44140625" style="61" customWidth="1"/>
    <col min="13068" max="13068" width="8.6640625" style="61" customWidth="1"/>
    <col min="13069" max="13069" width="0" style="61" hidden="1" customWidth="1"/>
    <col min="13070" max="13070" width="10.109375" style="61" bestFit="1" customWidth="1"/>
    <col min="13071" max="13071" width="10.109375" style="61" customWidth="1"/>
    <col min="13072" max="13072" width="0" style="61" hidden="1" customWidth="1"/>
    <col min="13073" max="13073" width="10" style="61" customWidth="1"/>
    <col min="13074" max="13074" width="12.88671875" style="61" customWidth="1"/>
    <col min="13075" max="13313" width="8.88671875" style="61"/>
    <col min="13314" max="13314" width="4.109375" style="61" customWidth="1"/>
    <col min="13315" max="13315" width="25.5546875" style="61" customWidth="1"/>
    <col min="13316" max="13316" width="0" style="61" hidden="1" customWidth="1"/>
    <col min="13317" max="13317" width="9.109375" style="61" bestFit="1" customWidth="1"/>
    <col min="13318" max="13318" width="9.109375" style="61" customWidth="1"/>
    <col min="13319" max="13319" width="8.88671875" style="61" customWidth="1"/>
    <col min="13320" max="13321" width="10.6640625" style="61" customWidth="1"/>
    <col min="13322" max="13322" width="10" style="61" customWidth="1"/>
    <col min="13323" max="13323" width="10.44140625" style="61" customWidth="1"/>
    <col min="13324" max="13324" width="8.6640625" style="61" customWidth="1"/>
    <col min="13325" max="13325" width="0" style="61" hidden="1" customWidth="1"/>
    <col min="13326" max="13326" width="10.109375" style="61" bestFit="1" customWidth="1"/>
    <col min="13327" max="13327" width="10.109375" style="61" customWidth="1"/>
    <col min="13328" max="13328" width="0" style="61" hidden="1" customWidth="1"/>
    <col min="13329" max="13329" width="10" style="61" customWidth="1"/>
    <col min="13330" max="13330" width="12.88671875" style="61" customWidth="1"/>
    <col min="13331" max="13569" width="8.88671875" style="61"/>
    <col min="13570" max="13570" width="4.109375" style="61" customWidth="1"/>
    <col min="13571" max="13571" width="25.5546875" style="61" customWidth="1"/>
    <col min="13572" max="13572" width="0" style="61" hidden="1" customWidth="1"/>
    <col min="13573" max="13573" width="9.109375" style="61" bestFit="1" customWidth="1"/>
    <col min="13574" max="13574" width="9.109375" style="61" customWidth="1"/>
    <col min="13575" max="13575" width="8.88671875" style="61" customWidth="1"/>
    <col min="13576" max="13577" width="10.6640625" style="61" customWidth="1"/>
    <col min="13578" max="13578" width="10" style="61" customWidth="1"/>
    <col min="13579" max="13579" width="10.44140625" style="61" customWidth="1"/>
    <col min="13580" max="13580" width="8.6640625" style="61" customWidth="1"/>
    <col min="13581" max="13581" width="0" style="61" hidden="1" customWidth="1"/>
    <col min="13582" max="13582" width="10.109375" style="61" bestFit="1" customWidth="1"/>
    <col min="13583" max="13583" width="10.109375" style="61" customWidth="1"/>
    <col min="13584" max="13584" width="0" style="61" hidden="1" customWidth="1"/>
    <col min="13585" max="13585" width="10" style="61" customWidth="1"/>
    <col min="13586" max="13586" width="12.88671875" style="61" customWidth="1"/>
    <col min="13587" max="13825" width="8.88671875" style="61"/>
    <col min="13826" max="13826" width="4.109375" style="61" customWidth="1"/>
    <col min="13827" max="13827" width="25.5546875" style="61" customWidth="1"/>
    <col min="13828" max="13828" width="0" style="61" hidden="1" customWidth="1"/>
    <col min="13829" max="13829" width="9.109375" style="61" bestFit="1" customWidth="1"/>
    <col min="13830" max="13830" width="9.109375" style="61" customWidth="1"/>
    <col min="13831" max="13831" width="8.88671875" style="61" customWidth="1"/>
    <col min="13832" max="13833" width="10.6640625" style="61" customWidth="1"/>
    <col min="13834" max="13834" width="10" style="61" customWidth="1"/>
    <col min="13835" max="13835" width="10.44140625" style="61" customWidth="1"/>
    <col min="13836" max="13836" width="8.6640625" style="61" customWidth="1"/>
    <col min="13837" max="13837" width="0" style="61" hidden="1" customWidth="1"/>
    <col min="13838" max="13838" width="10.109375" style="61" bestFit="1" customWidth="1"/>
    <col min="13839" max="13839" width="10.109375" style="61" customWidth="1"/>
    <col min="13840" max="13840" width="0" style="61" hidden="1" customWidth="1"/>
    <col min="13841" max="13841" width="10" style="61" customWidth="1"/>
    <col min="13842" max="13842" width="12.88671875" style="61" customWidth="1"/>
    <col min="13843" max="14081" width="8.88671875" style="61"/>
    <col min="14082" max="14082" width="4.109375" style="61" customWidth="1"/>
    <col min="14083" max="14083" width="25.5546875" style="61" customWidth="1"/>
    <col min="14084" max="14084" width="0" style="61" hidden="1" customWidth="1"/>
    <col min="14085" max="14085" width="9.109375" style="61" bestFit="1" customWidth="1"/>
    <col min="14086" max="14086" width="9.109375" style="61" customWidth="1"/>
    <col min="14087" max="14087" width="8.88671875" style="61" customWidth="1"/>
    <col min="14088" max="14089" width="10.6640625" style="61" customWidth="1"/>
    <col min="14090" max="14090" width="10" style="61" customWidth="1"/>
    <col min="14091" max="14091" width="10.44140625" style="61" customWidth="1"/>
    <col min="14092" max="14092" width="8.6640625" style="61" customWidth="1"/>
    <col min="14093" max="14093" width="0" style="61" hidden="1" customWidth="1"/>
    <col min="14094" max="14094" width="10.109375" style="61" bestFit="1" customWidth="1"/>
    <col min="14095" max="14095" width="10.109375" style="61" customWidth="1"/>
    <col min="14096" max="14096" width="0" style="61" hidden="1" customWidth="1"/>
    <col min="14097" max="14097" width="10" style="61" customWidth="1"/>
    <col min="14098" max="14098" width="12.88671875" style="61" customWidth="1"/>
    <col min="14099" max="14337" width="8.88671875" style="61"/>
    <col min="14338" max="14338" width="4.109375" style="61" customWidth="1"/>
    <col min="14339" max="14339" width="25.5546875" style="61" customWidth="1"/>
    <col min="14340" max="14340" width="0" style="61" hidden="1" customWidth="1"/>
    <col min="14341" max="14341" width="9.109375" style="61" bestFit="1" customWidth="1"/>
    <col min="14342" max="14342" width="9.109375" style="61" customWidth="1"/>
    <col min="14343" max="14343" width="8.88671875" style="61" customWidth="1"/>
    <col min="14344" max="14345" width="10.6640625" style="61" customWidth="1"/>
    <col min="14346" max="14346" width="10" style="61" customWidth="1"/>
    <col min="14347" max="14347" width="10.44140625" style="61" customWidth="1"/>
    <col min="14348" max="14348" width="8.6640625" style="61" customWidth="1"/>
    <col min="14349" max="14349" width="0" style="61" hidden="1" customWidth="1"/>
    <col min="14350" max="14350" width="10.109375" style="61" bestFit="1" customWidth="1"/>
    <col min="14351" max="14351" width="10.109375" style="61" customWidth="1"/>
    <col min="14352" max="14352" width="0" style="61" hidden="1" customWidth="1"/>
    <col min="14353" max="14353" width="10" style="61" customWidth="1"/>
    <col min="14354" max="14354" width="12.88671875" style="61" customWidth="1"/>
    <col min="14355" max="14593" width="8.88671875" style="61"/>
    <col min="14594" max="14594" width="4.109375" style="61" customWidth="1"/>
    <col min="14595" max="14595" width="25.5546875" style="61" customWidth="1"/>
    <col min="14596" max="14596" width="0" style="61" hidden="1" customWidth="1"/>
    <col min="14597" max="14597" width="9.109375" style="61" bestFit="1" customWidth="1"/>
    <col min="14598" max="14598" width="9.109375" style="61" customWidth="1"/>
    <col min="14599" max="14599" width="8.88671875" style="61" customWidth="1"/>
    <col min="14600" max="14601" width="10.6640625" style="61" customWidth="1"/>
    <col min="14602" max="14602" width="10" style="61" customWidth="1"/>
    <col min="14603" max="14603" width="10.44140625" style="61" customWidth="1"/>
    <col min="14604" max="14604" width="8.6640625" style="61" customWidth="1"/>
    <col min="14605" max="14605" width="0" style="61" hidden="1" customWidth="1"/>
    <col min="14606" max="14606" width="10.109375" style="61" bestFit="1" customWidth="1"/>
    <col min="14607" max="14607" width="10.109375" style="61" customWidth="1"/>
    <col min="14608" max="14608" width="0" style="61" hidden="1" customWidth="1"/>
    <col min="14609" max="14609" width="10" style="61" customWidth="1"/>
    <col min="14610" max="14610" width="12.88671875" style="61" customWidth="1"/>
    <col min="14611" max="14849" width="8.88671875" style="61"/>
    <col min="14850" max="14850" width="4.109375" style="61" customWidth="1"/>
    <col min="14851" max="14851" width="25.5546875" style="61" customWidth="1"/>
    <col min="14852" max="14852" width="0" style="61" hidden="1" customWidth="1"/>
    <col min="14853" max="14853" width="9.109375" style="61" bestFit="1" customWidth="1"/>
    <col min="14854" max="14854" width="9.109375" style="61" customWidth="1"/>
    <col min="14855" max="14855" width="8.88671875" style="61" customWidth="1"/>
    <col min="14856" max="14857" width="10.6640625" style="61" customWidth="1"/>
    <col min="14858" max="14858" width="10" style="61" customWidth="1"/>
    <col min="14859" max="14859" width="10.44140625" style="61" customWidth="1"/>
    <col min="14860" max="14860" width="8.6640625" style="61" customWidth="1"/>
    <col min="14861" max="14861" width="0" style="61" hidden="1" customWidth="1"/>
    <col min="14862" max="14862" width="10.109375" style="61" bestFit="1" customWidth="1"/>
    <col min="14863" max="14863" width="10.109375" style="61" customWidth="1"/>
    <col min="14864" max="14864" width="0" style="61" hidden="1" customWidth="1"/>
    <col min="14865" max="14865" width="10" style="61" customWidth="1"/>
    <col min="14866" max="14866" width="12.88671875" style="61" customWidth="1"/>
    <col min="14867" max="15105" width="8.88671875" style="61"/>
    <col min="15106" max="15106" width="4.109375" style="61" customWidth="1"/>
    <col min="15107" max="15107" width="25.5546875" style="61" customWidth="1"/>
    <col min="15108" max="15108" width="0" style="61" hidden="1" customWidth="1"/>
    <col min="15109" max="15109" width="9.109375" style="61" bestFit="1" customWidth="1"/>
    <col min="15110" max="15110" width="9.109375" style="61" customWidth="1"/>
    <col min="15111" max="15111" width="8.88671875" style="61" customWidth="1"/>
    <col min="15112" max="15113" width="10.6640625" style="61" customWidth="1"/>
    <col min="15114" max="15114" width="10" style="61" customWidth="1"/>
    <col min="15115" max="15115" width="10.44140625" style="61" customWidth="1"/>
    <col min="15116" max="15116" width="8.6640625" style="61" customWidth="1"/>
    <col min="15117" max="15117" width="0" style="61" hidden="1" customWidth="1"/>
    <col min="15118" max="15118" width="10.109375" style="61" bestFit="1" customWidth="1"/>
    <col min="15119" max="15119" width="10.109375" style="61" customWidth="1"/>
    <col min="15120" max="15120" width="0" style="61" hidden="1" customWidth="1"/>
    <col min="15121" max="15121" width="10" style="61" customWidth="1"/>
    <col min="15122" max="15122" width="12.88671875" style="61" customWidth="1"/>
    <col min="15123" max="15361" width="8.88671875" style="61"/>
    <col min="15362" max="15362" width="4.109375" style="61" customWidth="1"/>
    <col min="15363" max="15363" width="25.5546875" style="61" customWidth="1"/>
    <col min="15364" max="15364" width="0" style="61" hidden="1" customWidth="1"/>
    <col min="15365" max="15365" width="9.109375" style="61" bestFit="1" customWidth="1"/>
    <col min="15366" max="15366" width="9.109375" style="61" customWidth="1"/>
    <col min="15367" max="15367" width="8.88671875" style="61" customWidth="1"/>
    <col min="15368" max="15369" width="10.6640625" style="61" customWidth="1"/>
    <col min="15370" max="15370" width="10" style="61" customWidth="1"/>
    <col min="15371" max="15371" width="10.44140625" style="61" customWidth="1"/>
    <col min="15372" max="15372" width="8.6640625" style="61" customWidth="1"/>
    <col min="15373" max="15373" width="0" style="61" hidden="1" customWidth="1"/>
    <col min="15374" max="15374" width="10.109375" style="61" bestFit="1" customWidth="1"/>
    <col min="15375" max="15375" width="10.109375" style="61" customWidth="1"/>
    <col min="15376" max="15376" width="0" style="61" hidden="1" customWidth="1"/>
    <col min="15377" max="15377" width="10" style="61" customWidth="1"/>
    <col min="15378" max="15378" width="12.88671875" style="61" customWidth="1"/>
    <col min="15379" max="15617" width="8.88671875" style="61"/>
    <col min="15618" max="15618" width="4.109375" style="61" customWidth="1"/>
    <col min="15619" max="15619" width="25.5546875" style="61" customWidth="1"/>
    <col min="15620" max="15620" width="0" style="61" hidden="1" customWidth="1"/>
    <col min="15621" max="15621" width="9.109375" style="61" bestFit="1" customWidth="1"/>
    <col min="15622" max="15622" width="9.109375" style="61" customWidth="1"/>
    <col min="15623" max="15623" width="8.88671875" style="61" customWidth="1"/>
    <col min="15624" max="15625" width="10.6640625" style="61" customWidth="1"/>
    <col min="15626" max="15626" width="10" style="61" customWidth="1"/>
    <col min="15627" max="15627" width="10.44140625" style="61" customWidth="1"/>
    <col min="15628" max="15628" width="8.6640625" style="61" customWidth="1"/>
    <col min="15629" max="15629" width="0" style="61" hidden="1" customWidth="1"/>
    <col min="15630" max="15630" width="10.109375" style="61" bestFit="1" customWidth="1"/>
    <col min="15631" max="15631" width="10.109375" style="61" customWidth="1"/>
    <col min="15632" max="15632" width="0" style="61" hidden="1" customWidth="1"/>
    <col min="15633" max="15633" width="10" style="61" customWidth="1"/>
    <col min="15634" max="15634" width="12.88671875" style="61" customWidth="1"/>
    <col min="15635" max="15873" width="8.88671875" style="61"/>
    <col min="15874" max="15874" width="4.109375" style="61" customWidth="1"/>
    <col min="15875" max="15875" width="25.5546875" style="61" customWidth="1"/>
    <col min="15876" max="15876" width="0" style="61" hidden="1" customWidth="1"/>
    <col min="15877" max="15877" width="9.109375" style="61" bestFit="1" customWidth="1"/>
    <col min="15878" max="15878" width="9.109375" style="61" customWidth="1"/>
    <col min="15879" max="15879" width="8.88671875" style="61" customWidth="1"/>
    <col min="15880" max="15881" width="10.6640625" style="61" customWidth="1"/>
    <col min="15882" max="15882" width="10" style="61" customWidth="1"/>
    <col min="15883" max="15883" width="10.44140625" style="61" customWidth="1"/>
    <col min="15884" max="15884" width="8.6640625" style="61" customWidth="1"/>
    <col min="15885" max="15885" width="0" style="61" hidden="1" customWidth="1"/>
    <col min="15886" max="15886" width="10.109375" style="61" bestFit="1" customWidth="1"/>
    <col min="15887" max="15887" width="10.109375" style="61" customWidth="1"/>
    <col min="15888" max="15888" width="0" style="61" hidden="1" customWidth="1"/>
    <col min="15889" max="15889" width="10" style="61" customWidth="1"/>
    <col min="15890" max="15890" width="12.88671875" style="61" customWidth="1"/>
    <col min="15891" max="16129" width="8.88671875" style="61"/>
    <col min="16130" max="16130" width="4.109375" style="61" customWidth="1"/>
    <col min="16131" max="16131" width="25.5546875" style="61" customWidth="1"/>
    <col min="16132" max="16132" width="0" style="61" hidden="1" customWidth="1"/>
    <col min="16133" max="16133" width="9.109375" style="61" bestFit="1" customWidth="1"/>
    <col min="16134" max="16134" width="9.109375" style="61" customWidth="1"/>
    <col min="16135" max="16135" width="8.88671875" style="61" customWidth="1"/>
    <col min="16136" max="16137" width="10.6640625" style="61" customWidth="1"/>
    <col min="16138" max="16138" width="10" style="61" customWidth="1"/>
    <col min="16139" max="16139" width="10.44140625" style="61" customWidth="1"/>
    <col min="16140" max="16140" width="8.6640625" style="61" customWidth="1"/>
    <col min="16141" max="16141" width="0" style="61" hidden="1" customWidth="1"/>
    <col min="16142" max="16142" width="10.109375" style="61" bestFit="1" customWidth="1"/>
    <col min="16143" max="16143" width="10.109375" style="61" customWidth="1"/>
    <col min="16144" max="16144" width="0" style="61" hidden="1" customWidth="1"/>
    <col min="16145" max="16145" width="10" style="61" customWidth="1"/>
    <col min="16146" max="16146" width="12.88671875" style="61" customWidth="1"/>
    <col min="16147" max="16383" width="8.88671875" style="61"/>
    <col min="16384" max="16384" width="9.109375" style="61" customWidth="1"/>
  </cols>
  <sheetData>
    <row r="1" spans="1:22" ht="21">
      <c r="A1" s="180" t="s">
        <v>198</v>
      </c>
      <c r="B1" s="224"/>
      <c r="C1" s="224"/>
      <c r="D1" s="224"/>
      <c r="E1" s="224"/>
      <c r="F1" s="224"/>
      <c r="G1" s="224"/>
      <c r="H1" s="224"/>
      <c r="J1" s="224"/>
      <c r="K1" s="224"/>
      <c r="L1" s="224"/>
      <c r="M1" s="224"/>
      <c r="N1" s="224"/>
      <c r="O1" s="224"/>
    </row>
    <row r="2" spans="1:22" ht="16.2" thickBot="1"/>
    <row r="3" spans="1:22" s="131" customFormat="1" ht="62.4">
      <c r="A3" s="358" t="s">
        <v>199</v>
      </c>
      <c r="B3" s="359" t="s">
        <v>203</v>
      </c>
      <c r="C3" s="359" t="s">
        <v>200</v>
      </c>
      <c r="D3" s="359" t="s">
        <v>187</v>
      </c>
      <c r="E3" s="359" t="s">
        <v>645</v>
      </c>
      <c r="F3" s="359" t="s">
        <v>324</v>
      </c>
      <c r="G3" s="359" t="s">
        <v>574</v>
      </c>
      <c r="H3" s="359" t="s">
        <v>190</v>
      </c>
      <c r="I3" s="359" t="s">
        <v>944</v>
      </c>
      <c r="J3" s="359" t="s">
        <v>188</v>
      </c>
      <c r="K3" s="359" t="s">
        <v>79</v>
      </c>
      <c r="L3" s="359" t="s">
        <v>945</v>
      </c>
      <c r="M3" s="359" t="s">
        <v>186</v>
      </c>
      <c r="N3" s="359" t="s">
        <v>201</v>
      </c>
      <c r="O3" s="360" t="s">
        <v>88</v>
      </c>
    </row>
    <row r="4" spans="1:22" s="135" customFormat="1" ht="32.1" customHeight="1">
      <c r="A4" s="355" t="s">
        <v>339</v>
      </c>
      <c r="B4" s="132">
        <v>-113956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>
        <v>0</v>
      </c>
      <c r="N4" s="132">
        <v>-82716</v>
      </c>
      <c r="O4" s="356">
        <v>-196672</v>
      </c>
      <c r="Q4" s="314"/>
      <c r="R4" s="314"/>
      <c r="S4" s="224"/>
      <c r="T4" s="131"/>
      <c r="U4" s="131"/>
      <c r="V4" s="136"/>
    </row>
    <row r="5" spans="1:22" s="135" customFormat="1" ht="32.1" customHeight="1">
      <c r="A5" s="355" t="s">
        <v>202</v>
      </c>
      <c r="B5" s="132"/>
      <c r="C5" s="132"/>
      <c r="D5" s="132">
        <v>72075178</v>
      </c>
      <c r="E5" s="132"/>
      <c r="F5" s="132"/>
      <c r="G5" s="132">
        <v>1259000</v>
      </c>
      <c r="H5" s="132">
        <v>2000000</v>
      </c>
      <c r="I5" s="132"/>
      <c r="J5" s="132"/>
      <c r="K5" s="132">
        <v>3700000</v>
      </c>
      <c r="L5" s="132"/>
      <c r="M5" s="132"/>
      <c r="N5" s="132"/>
      <c r="O5" s="356">
        <v>79034178</v>
      </c>
      <c r="Q5" s="314"/>
      <c r="R5" s="314"/>
      <c r="S5" s="314"/>
      <c r="T5" s="131"/>
      <c r="U5" s="131"/>
      <c r="V5" s="137"/>
    </row>
    <row r="6" spans="1:22" s="135" customFormat="1" ht="32.1" customHeight="1">
      <c r="A6" s="355" t="s">
        <v>700</v>
      </c>
      <c r="B6" s="132"/>
      <c r="C6" s="132">
        <v>200000</v>
      </c>
      <c r="D6" s="132">
        <v>4090939</v>
      </c>
      <c r="E6" s="132"/>
      <c r="F6" s="132"/>
      <c r="G6" s="132">
        <v>191000</v>
      </c>
      <c r="H6" s="132">
        <v>1000000</v>
      </c>
      <c r="I6" s="132">
        <v>1800000</v>
      </c>
      <c r="J6" s="132"/>
      <c r="K6" s="132"/>
      <c r="L6" s="132"/>
      <c r="M6" s="132">
        <v>1340000</v>
      </c>
      <c r="N6" s="132">
        <v>7000000</v>
      </c>
      <c r="O6" s="356">
        <v>15621939</v>
      </c>
      <c r="Q6" s="314"/>
      <c r="R6" s="314"/>
      <c r="S6" s="314"/>
      <c r="T6" s="131"/>
      <c r="U6" s="131"/>
      <c r="V6" s="137"/>
    </row>
    <row r="7" spans="1:22" s="135" customFormat="1" ht="32.1" customHeight="1">
      <c r="A7" s="355" t="s">
        <v>1384</v>
      </c>
      <c r="B7" s="132"/>
      <c r="C7" s="132"/>
      <c r="D7" s="132">
        <v>938000</v>
      </c>
      <c r="E7" s="132"/>
      <c r="F7" s="132"/>
      <c r="G7" s="132"/>
      <c r="H7" s="132"/>
      <c r="I7" s="132"/>
      <c r="J7" s="132"/>
      <c r="K7" s="132"/>
      <c r="L7" s="132">
        <v>-782837</v>
      </c>
      <c r="M7" s="132"/>
      <c r="N7" s="132"/>
      <c r="O7" s="356">
        <v>155163</v>
      </c>
      <c r="Q7" s="314"/>
      <c r="R7" s="314"/>
      <c r="S7" s="131"/>
      <c r="T7" s="131"/>
      <c r="U7" s="131"/>
      <c r="V7" s="137"/>
    </row>
    <row r="8" spans="1:22" s="135" customFormat="1" ht="32.1" customHeight="1">
      <c r="A8" s="355" t="s">
        <v>314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356">
        <v>0</v>
      </c>
      <c r="Q8" s="314"/>
      <c r="R8" s="314"/>
      <c r="S8" s="131"/>
      <c r="T8" s="131"/>
      <c r="U8" s="131"/>
    </row>
    <row r="9" spans="1:22" s="135" customFormat="1" ht="32.1" customHeight="1">
      <c r="A9" s="355" t="s">
        <v>1456</v>
      </c>
      <c r="B9" s="132">
        <v>740899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356">
        <v>740899</v>
      </c>
      <c r="Q9" s="314"/>
      <c r="R9" s="314"/>
      <c r="S9" s="131"/>
      <c r="T9" s="131"/>
      <c r="U9" s="131"/>
    </row>
    <row r="10" spans="1:22" s="135" customFormat="1" ht="32.1" customHeight="1">
      <c r="A10" s="355" t="s">
        <v>319</v>
      </c>
      <c r="B10" s="132"/>
      <c r="C10" s="132"/>
      <c r="D10" s="132"/>
      <c r="E10" s="132"/>
      <c r="F10" s="132"/>
      <c r="G10" s="132"/>
      <c r="H10" s="132">
        <v>1000000</v>
      </c>
      <c r="I10" s="132"/>
      <c r="J10" s="132"/>
      <c r="K10" s="132"/>
      <c r="L10" s="132"/>
      <c r="M10" s="132"/>
      <c r="N10" s="132"/>
      <c r="O10" s="356">
        <v>1000000</v>
      </c>
      <c r="Q10" s="314"/>
      <c r="R10" s="314"/>
      <c r="S10" s="131"/>
      <c r="T10" s="131"/>
      <c r="U10" s="131"/>
    </row>
    <row r="11" spans="1:22" s="135" customFormat="1" ht="32.1" customHeight="1">
      <c r="A11" s="355" t="s">
        <v>321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356">
        <v>0</v>
      </c>
      <c r="Q11" s="314"/>
      <c r="R11" s="314"/>
      <c r="S11" s="131"/>
      <c r="T11" s="131"/>
      <c r="U11" s="131"/>
    </row>
    <row r="12" spans="1:22" s="135" customFormat="1" ht="32.1" customHeight="1">
      <c r="A12" s="355" t="s">
        <v>213</v>
      </c>
      <c r="B12" s="132"/>
      <c r="C12" s="132">
        <v>-53304</v>
      </c>
      <c r="D12" s="132"/>
      <c r="E12" s="132"/>
      <c r="F12" s="132"/>
      <c r="G12" s="132"/>
      <c r="H12" s="132"/>
      <c r="I12" s="132"/>
      <c r="J12" s="132"/>
      <c r="K12" s="132">
        <v>100000</v>
      </c>
      <c r="L12" s="132"/>
      <c r="M12" s="132"/>
      <c r="N12" s="132"/>
      <c r="O12" s="356">
        <v>46696</v>
      </c>
      <c r="Q12" s="314"/>
      <c r="R12" s="314"/>
      <c r="S12" s="131"/>
      <c r="T12" s="131"/>
      <c r="U12" s="131"/>
    </row>
    <row r="13" spans="1:22" s="135" customFormat="1" ht="32.1" customHeight="1" thickBot="1">
      <c r="A13" s="361" t="s">
        <v>88</v>
      </c>
      <c r="B13" s="362">
        <v>626943</v>
      </c>
      <c r="C13" s="362">
        <v>146696</v>
      </c>
      <c r="D13" s="362">
        <v>77104117</v>
      </c>
      <c r="E13" s="362">
        <v>0</v>
      </c>
      <c r="F13" s="362">
        <v>0</v>
      </c>
      <c r="G13" s="362">
        <v>1450000</v>
      </c>
      <c r="H13" s="362">
        <v>4000000</v>
      </c>
      <c r="I13" s="362">
        <v>1800000</v>
      </c>
      <c r="J13" s="362">
        <v>0</v>
      </c>
      <c r="K13" s="362">
        <v>3800000</v>
      </c>
      <c r="L13" s="362">
        <v>-782837</v>
      </c>
      <c r="M13" s="362">
        <v>1340000</v>
      </c>
      <c r="N13" s="362">
        <v>6917284</v>
      </c>
      <c r="O13" s="363">
        <v>96402203</v>
      </c>
      <c r="Q13" s="134"/>
      <c r="R13" s="131"/>
      <c r="S13" s="131"/>
      <c r="T13" s="131"/>
      <c r="U13" s="131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topLeftCell="A4" workbookViewId="0">
      <selection activeCell="M31" sqref="M31"/>
    </sheetView>
  </sheetViews>
  <sheetFormatPr defaultRowHeight="13.2"/>
  <sheetData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9"/>
  <sheetViews>
    <sheetView showZeros="0" rightToLeft="1" tabSelected="1" topLeftCell="A4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24.109375" style="191" customWidth="1"/>
    <col min="5" max="5" width="34.5546875" style="191" customWidth="1"/>
    <col min="6" max="6" width="5.6640625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3" spans="1:17" ht="21">
      <c r="A3" s="190"/>
      <c r="C3" s="192" t="s">
        <v>339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1.6" thickBot="1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16.2" thickBot="1">
      <c r="A5" s="190"/>
      <c r="B5" s="193" t="s">
        <v>136</v>
      </c>
      <c r="C5" s="190" t="s">
        <v>1246</v>
      </c>
      <c r="D5" s="190"/>
      <c r="E5" s="190"/>
      <c r="F5" s="190"/>
      <c r="H5" s="194">
        <v>14777284</v>
      </c>
      <c r="I5" s="190"/>
      <c r="J5" s="190"/>
      <c r="K5" s="190"/>
      <c r="L5" s="190"/>
    </row>
    <row r="6" spans="1:17" ht="21.6" thickBot="1">
      <c r="A6" s="190"/>
      <c r="C6" s="192"/>
      <c r="D6" s="190"/>
      <c r="E6" s="190"/>
      <c r="F6" s="190"/>
      <c r="H6" s="190"/>
      <c r="I6" s="190"/>
      <c r="J6" s="190"/>
      <c r="K6" s="190"/>
      <c r="L6" s="190"/>
    </row>
    <row r="7" spans="1:17" ht="16.2" thickBot="1">
      <c r="B7" s="193" t="s">
        <v>136</v>
      </c>
      <c r="C7" s="190" t="s">
        <v>1434</v>
      </c>
      <c r="D7" s="190"/>
      <c r="F7" s="190"/>
      <c r="H7" s="194">
        <v>68</v>
      </c>
      <c r="I7" s="190"/>
      <c r="J7" s="190"/>
      <c r="K7" s="190"/>
      <c r="L7" s="190"/>
      <c r="M7" s="190"/>
      <c r="N7" s="190"/>
      <c r="O7" s="190"/>
      <c r="P7" s="190"/>
      <c r="Q7" s="190"/>
    </row>
    <row r="8" spans="1:17" ht="15.6">
      <c r="B8" s="193"/>
      <c r="C8" s="190"/>
      <c r="D8" s="190"/>
      <c r="E8" s="190"/>
      <c r="F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ht="15.6">
      <c r="B9" s="193" t="s">
        <v>136</v>
      </c>
      <c r="C9" s="190" t="s">
        <v>231</v>
      </c>
      <c r="D9" s="190"/>
      <c r="E9" s="190"/>
      <c r="F9" s="190"/>
      <c r="G9" s="190"/>
      <c r="H9" s="190"/>
      <c r="I9" s="190"/>
      <c r="J9" s="190"/>
      <c r="K9" s="190"/>
      <c r="L9" s="190"/>
    </row>
    <row r="10" spans="1:17" ht="16.2" thickBot="1"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C11" s="629" t="s">
        <v>232</v>
      </c>
      <c r="D11" s="630"/>
      <c r="E11" s="631" t="s">
        <v>233</v>
      </c>
      <c r="F11" s="632"/>
      <c r="G11" s="633"/>
      <c r="H11" s="227" t="s">
        <v>234</v>
      </c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>
      <c r="C12" s="634" t="s">
        <v>13</v>
      </c>
      <c r="D12" s="635"/>
      <c r="E12" s="636">
        <v>14973956</v>
      </c>
      <c r="F12" s="637"/>
      <c r="G12" s="638"/>
      <c r="H12" s="228">
        <v>1.0133090762822181</v>
      </c>
      <c r="I12" s="190"/>
      <c r="J12" s="190"/>
      <c r="K12" s="190"/>
      <c r="L12" s="190"/>
      <c r="M12" s="190"/>
      <c r="N12" s="190"/>
      <c r="O12" s="190"/>
      <c r="P12" s="190"/>
      <c r="Q12" s="190"/>
    </row>
    <row r="13" spans="1:17" ht="15.6">
      <c r="C13" s="634" t="s">
        <v>79</v>
      </c>
      <c r="D13" s="635"/>
      <c r="E13" s="636">
        <v>-196672</v>
      </c>
      <c r="F13" s="637"/>
      <c r="G13" s="638"/>
      <c r="H13" s="228">
        <v>-1.3309076282218031E-2</v>
      </c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7" ht="16.2" thickBot="1">
      <c r="C14" s="624" t="s">
        <v>88</v>
      </c>
      <c r="D14" s="625"/>
      <c r="E14" s="626">
        <v>14777284</v>
      </c>
      <c r="F14" s="627"/>
      <c r="G14" s="628"/>
      <c r="H14" s="287">
        <v>1</v>
      </c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6">
      <c r="B15" s="193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</row>
    <row r="16" spans="1:17" s="263" customFormat="1" ht="15.6">
      <c r="C16" s="265" t="s">
        <v>136</v>
      </c>
      <c r="D16" s="262" t="s">
        <v>606</v>
      </c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263" customFormat="1" ht="15.6">
      <c r="C17" s="265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263" customFormat="1" ht="15.6">
      <c r="A18" s="262"/>
      <c r="B18" s="262"/>
      <c r="C18" s="262"/>
      <c r="D18" s="322" t="s">
        <v>1251</v>
      </c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263" customFormat="1" ht="15.6">
      <c r="C19" s="265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263" customFormat="1" ht="15.6">
      <c r="C20" s="265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263" customFormat="1" ht="15.6">
      <c r="A21" s="262"/>
      <c r="B21" s="262"/>
      <c r="C21" s="262"/>
      <c r="D21" s="32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263" customFormat="1" ht="15.6">
      <c r="A22" s="262"/>
      <c r="B22" s="262"/>
      <c r="C22" s="262"/>
      <c r="D22" s="321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263" customFormat="1" ht="15.6">
      <c r="A23" s="262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263" customFormat="1" ht="15.6">
      <c r="A24" s="262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263" customFormat="1" ht="15.6">
      <c r="A25" s="262"/>
      <c r="B25" s="262"/>
      <c r="C25" s="262"/>
      <c r="D25" s="283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263" customFormat="1" ht="15.6">
      <c r="A26" s="262"/>
      <c r="B26" s="262"/>
      <c r="C26" s="262"/>
      <c r="D26" s="283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263" customFormat="1" ht="15.6">
      <c r="A27" s="262"/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9" spans="1:17" s="284" customFormat="1" ht="15.6">
      <c r="C29" s="285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</row>
  </sheetData>
  <mergeCells count="8">
    <mergeCell ref="C14:D14"/>
    <mergeCell ref="E14:G14"/>
    <mergeCell ref="C11:D11"/>
    <mergeCell ref="E11:G11"/>
    <mergeCell ref="C12:D12"/>
    <mergeCell ref="E12:G12"/>
    <mergeCell ref="C13:D13"/>
    <mergeCell ref="E13:G13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6"/>
  <sheetViews>
    <sheetView showZeros="0" rightToLeft="1" tabSelected="1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35.44140625" style="191" customWidth="1"/>
    <col min="5" max="5" width="39.5546875" style="191" customWidth="1"/>
    <col min="6" max="6" width="5.6640625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3" spans="1:17" ht="21">
      <c r="A3" s="190"/>
      <c r="C3" s="192" t="s">
        <v>339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1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15.6">
      <c r="B5" s="193" t="s">
        <v>136</v>
      </c>
      <c r="C5" s="190" t="s">
        <v>1247</v>
      </c>
      <c r="D5" s="190"/>
      <c r="E5" s="323"/>
      <c r="F5" s="190"/>
      <c r="H5" s="199"/>
      <c r="I5" s="190"/>
      <c r="J5" s="190"/>
      <c r="K5" s="190"/>
      <c r="L5" s="190"/>
      <c r="M5" s="190"/>
      <c r="N5" s="190"/>
      <c r="O5" s="190"/>
      <c r="P5" s="190"/>
      <c r="Q5" s="190"/>
    </row>
    <row r="6" spans="1:17" ht="15.6">
      <c r="C6" s="190"/>
      <c r="D6" s="190"/>
      <c r="E6" s="190"/>
      <c r="F6" s="190"/>
      <c r="H6" s="190"/>
      <c r="I6" s="190"/>
      <c r="J6" s="190"/>
      <c r="K6" s="190"/>
      <c r="L6" s="190"/>
    </row>
    <row r="7" spans="1:17" ht="15.6">
      <c r="D7" s="429" t="s">
        <v>235</v>
      </c>
      <c r="E7" s="430" t="s">
        <v>233</v>
      </c>
      <c r="F7" s="196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</row>
    <row r="8" spans="1:17" ht="15.6">
      <c r="C8" s="193"/>
      <c r="D8" s="431" t="s">
        <v>471</v>
      </c>
      <c r="E8" s="206">
        <v>6000000</v>
      </c>
      <c r="F8" s="199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ht="15.6">
      <c r="C9" s="193"/>
      <c r="D9" s="431" t="s">
        <v>689</v>
      </c>
      <c r="E9" s="206">
        <v>1000000</v>
      </c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</row>
    <row r="10" spans="1:17" ht="15.6">
      <c r="C10" s="193"/>
      <c r="D10" s="431" t="s">
        <v>94</v>
      </c>
      <c r="E10" s="206">
        <v>2500000</v>
      </c>
      <c r="F10" s="199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C11" s="193"/>
      <c r="D11" s="199"/>
      <c r="E11" s="222"/>
      <c r="F11" s="199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>
      <c r="C12" s="193"/>
      <c r="D12" s="199" t="s">
        <v>1248</v>
      </c>
      <c r="E12" s="222"/>
      <c r="F12" s="199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</row>
    <row r="13" spans="1:17" ht="15.6">
      <c r="C13" s="193"/>
      <c r="D13" s="199" t="s">
        <v>1386</v>
      </c>
      <c r="E13" s="222"/>
      <c r="F13" s="199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5" spans="1:17" ht="15.6">
      <c r="D15" s="277" t="s">
        <v>1249</v>
      </c>
    </row>
    <row r="36" spans="4:4" ht="15.6">
      <c r="D36" s="19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showZeros="0" rightToLeft="1" tabSelected="1" zoomScaleNormal="100" workbookViewId="0">
      <pane xSplit="4" ySplit="4" topLeftCell="E68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.88671875" defaultRowHeight="13.8"/>
  <cols>
    <col min="1" max="1" width="3.77734375" style="11" customWidth="1"/>
    <col min="2" max="2" width="5.77734375" style="11" customWidth="1"/>
    <col min="3" max="3" width="19.33203125" style="17" customWidth="1"/>
    <col min="4" max="5" width="10.77734375" style="13" customWidth="1"/>
    <col min="6" max="6" width="8.77734375" style="13" customWidth="1"/>
    <col min="7" max="8" width="11.109375" style="13" hidden="1" customWidth="1"/>
    <col min="9" max="10" width="10.44140625" style="13" hidden="1" customWidth="1"/>
    <col min="11" max="11" width="11.109375" style="13" hidden="1" customWidth="1"/>
    <col min="12" max="12" width="10.77734375" style="13" customWidth="1"/>
    <col min="13" max="13" width="8.77734375" style="13" customWidth="1"/>
    <col min="14" max="14" width="9.77734375" style="13" customWidth="1"/>
    <col min="15" max="15" width="10.77734375" style="13" customWidth="1"/>
    <col min="16" max="19" width="10.44140625" style="13" hidden="1" customWidth="1"/>
    <col min="20" max="20" width="8.77734375" style="13" customWidth="1"/>
    <col min="21" max="22" width="9.77734375" style="11" customWidth="1"/>
    <col min="23" max="23" width="6.6640625" style="11" hidden="1" customWidth="1"/>
    <col min="24" max="24" width="6.44140625" style="11" hidden="1" customWidth="1"/>
    <col min="25" max="25" width="9.109375" style="11" hidden="1" customWidth="1"/>
    <col min="26" max="26" width="9.5546875" style="11" hidden="1" customWidth="1"/>
    <col min="27" max="27" width="8.77734375" style="11" customWidth="1"/>
    <col min="28" max="28" width="34.77734375" style="17" customWidth="1"/>
    <col min="29" max="29" width="8.88671875" style="11" hidden="1" customWidth="1"/>
    <col min="30" max="30" width="25.6640625" style="299" customWidth="1"/>
    <col min="31" max="31" width="29.109375" style="299" customWidth="1"/>
    <col min="32" max="32" width="27.33203125" style="299" customWidth="1"/>
    <col min="33" max="33" width="25.5546875" style="299" customWidth="1"/>
    <col min="34" max="34" width="22" style="299" customWidth="1"/>
    <col min="35" max="35" width="22.88671875" style="299" customWidth="1"/>
    <col min="36" max="36" width="42.109375" style="299" customWidth="1"/>
    <col min="37" max="37" width="8.88671875" style="27" customWidth="1"/>
    <col min="38" max="38" width="25.6640625" style="27" customWidth="1"/>
    <col min="39" max="39" width="15" style="27" customWidth="1"/>
    <col min="40" max="16384" width="8.88671875" style="11"/>
  </cols>
  <sheetData>
    <row r="1" spans="1:39" s="25" customFormat="1" ht="18">
      <c r="A1" s="24"/>
      <c r="B1" s="24"/>
      <c r="C1" s="58"/>
      <c r="J1" s="13"/>
      <c r="K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319"/>
      <c r="X1" s="319"/>
      <c r="Y1" s="319"/>
      <c r="Z1" s="319"/>
      <c r="AA1" s="319"/>
      <c r="AB1" s="319"/>
      <c r="AD1" s="299"/>
      <c r="AE1" s="299"/>
      <c r="AF1" s="299"/>
      <c r="AG1" s="299"/>
      <c r="AH1" s="299"/>
      <c r="AI1" s="299"/>
      <c r="AJ1" s="299"/>
      <c r="AK1" s="27"/>
      <c r="AL1" s="27"/>
      <c r="AM1" s="27"/>
    </row>
    <row r="2" spans="1:39" ht="18">
      <c r="A2" s="58" t="s">
        <v>339</v>
      </c>
      <c r="B2" s="24"/>
      <c r="C2" s="229"/>
      <c r="D2" s="25"/>
      <c r="E2" s="25"/>
      <c r="F2" s="25"/>
      <c r="K2" s="24"/>
      <c r="M2" s="317"/>
      <c r="N2" s="317"/>
      <c r="O2" s="317"/>
      <c r="P2" s="317"/>
      <c r="Q2" s="317"/>
      <c r="R2" s="317"/>
      <c r="S2" s="317"/>
      <c r="T2" s="317"/>
      <c r="U2" s="319"/>
      <c r="V2" s="319"/>
      <c r="W2" s="319"/>
      <c r="X2" s="319"/>
      <c r="Y2" s="319"/>
      <c r="Z2" s="319"/>
      <c r="AA2" s="319"/>
      <c r="AB2" s="11"/>
    </row>
    <row r="3" spans="1:39" ht="24.6" customHeight="1">
      <c r="D3" s="318"/>
      <c r="E3" s="12"/>
      <c r="F3" s="12"/>
      <c r="G3" s="433"/>
      <c r="H3" s="12"/>
      <c r="I3" s="12"/>
      <c r="J3" s="12"/>
      <c r="K3" s="12"/>
      <c r="L3" s="318"/>
      <c r="M3" s="342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</row>
    <row r="4" spans="1:39" s="27" customFormat="1" ht="69">
      <c r="A4" s="9" t="s">
        <v>0</v>
      </c>
      <c r="B4" s="9" t="s">
        <v>1</v>
      </c>
      <c r="C4" s="9" t="s">
        <v>2</v>
      </c>
      <c r="D4" s="9" t="s">
        <v>84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9</v>
      </c>
      <c r="J4" s="9" t="s">
        <v>132</v>
      </c>
      <c r="K4" s="9" t="s">
        <v>10</v>
      </c>
      <c r="L4" s="9" t="s">
        <v>11</v>
      </c>
      <c r="M4" s="9" t="s">
        <v>875</v>
      </c>
      <c r="N4" s="9" t="s">
        <v>876</v>
      </c>
      <c r="O4" s="9" t="s">
        <v>877</v>
      </c>
      <c r="P4" s="9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9" t="s">
        <v>13</v>
      </c>
      <c r="W4" s="9" t="s">
        <v>14</v>
      </c>
      <c r="X4" s="9" t="s">
        <v>15</v>
      </c>
      <c r="Y4" s="9" t="s">
        <v>225</v>
      </c>
      <c r="Z4" s="9" t="s">
        <v>575</v>
      </c>
      <c r="AA4" s="9" t="s">
        <v>79</v>
      </c>
      <c r="AB4" s="15" t="s">
        <v>257</v>
      </c>
      <c r="AC4" s="9" t="s">
        <v>16</v>
      </c>
      <c r="AD4" s="299"/>
      <c r="AE4" s="299"/>
      <c r="AF4" s="299"/>
      <c r="AG4" s="299"/>
      <c r="AH4" s="299"/>
      <c r="AI4" s="299"/>
      <c r="AJ4" s="299"/>
    </row>
    <row r="5" spans="1:39" s="5" customFormat="1" ht="45" customHeight="1">
      <c r="A5" s="3">
        <v>1</v>
      </c>
      <c r="B5" s="3">
        <v>179</v>
      </c>
      <c r="C5" s="3" t="s">
        <v>29</v>
      </c>
      <c r="D5" s="4">
        <v>3150250</v>
      </c>
      <c r="E5" s="4">
        <v>3200250</v>
      </c>
      <c r="F5" s="4">
        <v>-50000</v>
      </c>
      <c r="G5" s="4">
        <v>3100250</v>
      </c>
      <c r="H5" s="4">
        <v>3032521</v>
      </c>
      <c r="I5" s="4">
        <v>0</v>
      </c>
      <c r="J5" s="4">
        <v>45075</v>
      </c>
      <c r="K5" s="4">
        <v>45075</v>
      </c>
      <c r="L5" s="4">
        <v>3077596</v>
      </c>
      <c r="M5" s="4">
        <v>72654</v>
      </c>
      <c r="N5" s="4">
        <v>0</v>
      </c>
      <c r="O5" s="4">
        <v>0</v>
      </c>
      <c r="P5" s="4">
        <v>22654</v>
      </c>
      <c r="Q5" s="434">
        <v>50000</v>
      </c>
      <c r="R5" s="4"/>
      <c r="S5" s="4">
        <v>50000</v>
      </c>
      <c r="T5" s="4">
        <v>0</v>
      </c>
      <c r="U5" s="4">
        <v>0</v>
      </c>
      <c r="V5" s="4">
        <v>0</v>
      </c>
      <c r="W5" s="4"/>
      <c r="X5" s="4"/>
      <c r="Y5" s="4"/>
      <c r="Z5" s="4"/>
      <c r="AA5" s="3"/>
      <c r="AB5" s="3" t="s">
        <v>1387</v>
      </c>
      <c r="AC5" s="3">
        <v>732000</v>
      </c>
      <c r="AD5" s="299"/>
      <c r="AE5" s="299"/>
      <c r="AF5" s="299"/>
      <c r="AG5" s="299"/>
      <c r="AH5" s="299"/>
      <c r="AI5" s="299"/>
      <c r="AJ5" s="299"/>
      <c r="AK5" s="27"/>
      <c r="AL5" s="27"/>
      <c r="AM5" s="27"/>
    </row>
    <row r="6" spans="1:39" s="5" customFormat="1" ht="45" customHeight="1">
      <c r="A6" s="3">
        <f>A5+1</f>
        <v>2</v>
      </c>
      <c r="B6" s="3">
        <v>507</v>
      </c>
      <c r="C6" s="3" t="s">
        <v>41</v>
      </c>
      <c r="D6" s="4">
        <v>1965000</v>
      </c>
      <c r="E6" s="4">
        <v>2315000</v>
      </c>
      <c r="F6" s="4">
        <v>-350000</v>
      </c>
      <c r="G6" s="4">
        <v>1965000</v>
      </c>
      <c r="H6" s="4">
        <v>1684688</v>
      </c>
      <c r="I6" s="4">
        <v>0</v>
      </c>
      <c r="J6" s="4">
        <v>172270</v>
      </c>
      <c r="K6" s="4">
        <v>172270</v>
      </c>
      <c r="L6" s="4">
        <v>1856958</v>
      </c>
      <c r="M6" s="4">
        <v>108042</v>
      </c>
      <c r="N6" s="4">
        <v>0</v>
      </c>
      <c r="O6" s="4">
        <v>0</v>
      </c>
      <c r="P6" s="4">
        <v>108042</v>
      </c>
      <c r="Q6" s="4"/>
      <c r="R6" s="4"/>
      <c r="S6" s="4">
        <v>0</v>
      </c>
      <c r="T6" s="4">
        <v>0</v>
      </c>
      <c r="U6" s="4">
        <v>0</v>
      </c>
      <c r="V6" s="4">
        <v>0</v>
      </c>
      <c r="W6" s="4"/>
      <c r="X6" s="4"/>
      <c r="Y6" s="4"/>
      <c r="Z6" s="4"/>
      <c r="AA6" s="3"/>
      <c r="AB6" s="3" t="s">
        <v>413</v>
      </c>
      <c r="AC6" s="3">
        <v>742000</v>
      </c>
      <c r="AD6" s="299"/>
      <c r="AE6" s="299"/>
      <c r="AF6" s="299"/>
      <c r="AG6" s="299"/>
      <c r="AH6" s="299"/>
      <c r="AI6" s="299"/>
      <c r="AJ6" s="299"/>
      <c r="AK6" s="27"/>
      <c r="AL6" s="27"/>
      <c r="AM6" s="27"/>
    </row>
    <row r="7" spans="1:39" s="5" customFormat="1" ht="45" customHeight="1">
      <c r="A7" s="3">
        <f>A6+1</f>
        <v>3</v>
      </c>
      <c r="B7" s="3">
        <v>592</v>
      </c>
      <c r="C7" s="3" t="s">
        <v>23</v>
      </c>
      <c r="D7" s="4">
        <v>54893000</v>
      </c>
      <c r="E7" s="4">
        <v>54893000</v>
      </c>
      <c r="F7" s="4">
        <v>0</v>
      </c>
      <c r="G7" s="4">
        <v>21420000</v>
      </c>
      <c r="H7" s="4">
        <v>19882849</v>
      </c>
      <c r="I7" s="4">
        <v>0</v>
      </c>
      <c r="J7" s="4">
        <v>1479</v>
      </c>
      <c r="K7" s="4">
        <v>1479</v>
      </c>
      <c r="L7" s="4">
        <v>19884328</v>
      </c>
      <c r="M7" s="4">
        <v>672</v>
      </c>
      <c r="N7" s="4">
        <v>1935000</v>
      </c>
      <c r="O7" s="4">
        <v>33073000</v>
      </c>
      <c r="P7" s="4">
        <v>1535672</v>
      </c>
      <c r="Q7" s="4"/>
      <c r="R7" s="4"/>
      <c r="S7" s="4">
        <v>0</v>
      </c>
      <c r="T7" s="4">
        <v>1535000</v>
      </c>
      <c r="U7" s="4">
        <v>400000</v>
      </c>
      <c r="V7" s="4">
        <v>400000</v>
      </c>
      <c r="W7" s="4"/>
      <c r="X7" s="4"/>
      <c r="Y7" s="4"/>
      <c r="Z7" s="4"/>
      <c r="AA7" s="3"/>
      <c r="AB7" s="3" t="s">
        <v>1278</v>
      </c>
      <c r="AC7" s="3">
        <v>742000</v>
      </c>
      <c r="AD7" s="299"/>
      <c r="AE7" s="299"/>
      <c r="AF7" s="299"/>
      <c r="AG7" s="299"/>
      <c r="AH7" s="299"/>
      <c r="AI7" s="299"/>
      <c r="AJ7" s="299"/>
      <c r="AK7" s="27"/>
      <c r="AL7" s="27"/>
      <c r="AM7" s="27"/>
    </row>
    <row r="8" spans="1:39" s="5" customFormat="1" ht="45" customHeight="1">
      <c r="A8" s="3">
        <f t="shared" ref="A8:A69" si="0">A7+1</f>
        <v>4</v>
      </c>
      <c r="B8" s="3">
        <v>608</v>
      </c>
      <c r="C8" s="3" t="s">
        <v>30</v>
      </c>
      <c r="D8" s="4">
        <v>8300000</v>
      </c>
      <c r="E8" s="4">
        <v>8300000</v>
      </c>
      <c r="F8" s="4">
        <v>0</v>
      </c>
      <c r="G8" s="4">
        <v>6700000</v>
      </c>
      <c r="H8" s="4">
        <v>5964431</v>
      </c>
      <c r="I8" s="4">
        <v>0</v>
      </c>
      <c r="J8" s="4">
        <v>527601</v>
      </c>
      <c r="K8" s="4">
        <v>527601</v>
      </c>
      <c r="L8" s="4">
        <v>6492032</v>
      </c>
      <c r="M8" s="4">
        <v>207968</v>
      </c>
      <c r="N8" s="4">
        <v>800000</v>
      </c>
      <c r="O8" s="4">
        <v>800000</v>
      </c>
      <c r="P8" s="4">
        <v>207968</v>
      </c>
      <c r="Q8" s="4"/>
      <c r="R8" s="4"/>
      <c r="S8" s="4">
        <v>0</v>
      </c>
      <c r="T8" s="4">
        <v>0</v>
      </c>
      <c r="U8" s="4">
        <v>800000</v>
      </c>
      <c r="V8" s="4">
        <v>800000</v>
      </c>
      <c r="W8" s="4"/>
      <c r="X8" s="4"/>
      <c r="Y8" s="4"/>
      <c r="Z8" s="4"/>
      <c r="AA8" s="3"/>
      <c r="AB8" s="3" t="s">
        <v>258</v>
      </c>
      <c r="AC8" s="3">
        <v>745000</v>
      </c>
      <c r="AD8" s="299"/>
      <c r="AE8" s="299"/>
      <c r="AF8" s="299"/>
      <c r="AG8" s="299"/>
      <c r="AH8" s="299"/>
      <c r="AI8" s="299"/>
      <c r="AJ8" s="299"/>
      <c r="AK8" s="27"/>
      <c r="AL8" s="27"/>
      <c r="AM8" s="27"/>
    </row>
    <row r="9" spans="1:39" s="6" customFormat="1" ht="45" customHeight="1">
      <c r="A9" s="3">
        <f t="shared" si="0"/>
        <v>5</v>
      </c>
      <c r="B9" s="3">
        <v>626</v>
      </c>
      <c r="C9" s="3" t="s">
        <v>471</v>
      </c>
      <c r="D9" s="4">
        <v>34775000</v>
      </c>
      <c r="E9" s="4">
        <v>34775000</v>
      </c>
      <c r="F9" s="4">
        <v>0</v>
      </c>
      <c r="G9" s="4">
        <v>17275000</v>
      </c>
      <c r="H9" s="4">
        <v>14032584</v>
      </c>
      <c r="I9" s="4">
        <v>107406</v>
      </c>
      <c r="J9" s="4">
        <v>3122957</v>
      </c>
      <c r="K9" s="4">
        <v>3230363</v>
      </c>
      <c r="L9" s="4">
        <v>17262947</v>
      </c>
      <c r="M9" s="4">
        <v>12053</v>
      </c>
      <c r="N9" s="4">
        <v>6000000</v>
      </c>
      <c r="O9" s="4">
        <v>11500000</v>
      </c>
      <c r="P9" s="4">
        <v>12053</v>
      </c>
      <c r="Q9" s="4"/>
      <c r="R9" s="4"/>
      <c r="S9" s="4">
        <v>0</v>
      </c>
      <c r="T9" s="4">
        <v>0</v>
      </c>
      <c r="U9" s="4">
        <v>6000000</v>
      </c>
      <c r="V9" s="4">
        <v>6000000</v>
      </c>
      <c r="W9" s="4"/>
      <c r="X9" s="4"/>
      <c r="Y9" s="4"/>
      <c r="Z9" s="4"/>
      <c r="AA9" s="4"/>
      <c r="AB9" s="3" t="s">
        <v>1388</v>
      </c>
      <c r="AC9" s="3">
        <v>732000</v>
      </c>
      <c r="AD9" s="299"/>
      <c r="AE9" s="299"/>
      <c r="AF9" s="299"/>
      <c r="AG9" s="299"/>
      <c r="AH9" s="299"/>
      <c r="AI9" s="299"/>
      <c r="AJ9" s="299"/>
      <c r="AK9" s="27"/>
      <c r="AL9" s="27"/>
      <c r="AM9" s="27"/>
    </row>
    <row r="10" spans="1:39" s="5" customFormat="1" ht="45" customHeight="1">
      <c r="A10" s="3">
        <f t="shared" si="0"/>
        <v>6</v>
      </c>
      <c r="B10" s="3">
        <v>638</v>
      </c>
      <c r="C10" s="3" t="s">
        <v>389</v>
      </c>
      <c r="D10" s="4">
        <v>4436000</v>
      </c>
      <c r="E10" s="4">
        <v>4436000</v>
      </c>
      <c r="F10" s="4">
        <v>0</v>
      </c>
      <c r="G10" s="4">
        <v>4436000</v>
      </c>
      <c r="H10" s="4">
        <v>4045897</v>
      </c>
      <c r="I10" s="4">
        <v>0</v>
      </c>
      <c r="J10" s="4">
        <v>228584</v>
      </c>
      <c r="K10" s="4">
        <v>228584</v>
      </c>
      <c r="L10" s="4">
        <v>4274481</v>
      </c>
      <c r="M10" s="4">
        <v>161519</v>
      </c>
      <c r="N10" s="4"/>
      <c r="O10" s="297">
        <v>0</v>
      </c>
      <c r="P10" s="297">
        <v>161519</v>
      </c>
      <c r="Q10" s="297"/>
      <c r="R10" s="297"/>
      <c r="S10" s="297">
        <v>0</v>
      </c>
      <c r="T10" s="297">
        <v>0</v>
      </c>
      <c r="U10" s="4">
        <v>0</v>
      </c>
      <c r="V10" s="4">
        <v>0</v>
      </c>
      <c r="W10" s="4"/>
      <c r="X10" s="4"/>
      <c r="Y10" s="4"/>
      <c r="Z10" s="4"/>
      <c r="AA10" s="3"/>
      <c r="AB10" s="3" t="s">
        <v>1178</v>
      </c>
      <c r="AC10" s="3">
        <v>742000</v>
      </c>
      <c r="AD10" s="299"/>
      <c r="AE10" s="299"/>
      <c r="AF10" s="299"/>
      <c r="AG10" s="299"/>
      <c r="AH10" s="299"/>
      <c r="AI10" s="299"/>
      <c r="AJ10" s="299"/>
      <c r="AK10" s="27"/>
      <c r="AL10" s="27"/>
      <c r="AM10" s="27"/>
    </row>
    <row r="11" spans="1:39" s="5" customFormat="1" ht="45" customHeight="1">
      <c r="A11" s="3">
        <f t="shared" si="0"/>
        <v>7</v>
      </c>
      <c r="B11" s="3">
        <v>1018</v>
      </c>
      <c r="C11" s="3" t="s">
        <v>24</v>
      </c>
      <c r="D11" s="4">
        <v>31900000</v>
      </c>
      <c r="E11" s="4">
        <v>31900000</v>
      </c>
      <c r="F11" s="4">
        <v>0</v>
      </c>
      <c r="G11" s="4">
        <v>3150000</v>
      </c>
      <c r="H11" s="4">
        <v>3059671</v>
      </c>
      <c r="I11" s="4">
        <v>84193</v>
      </c>
      <c r="J11" s="4">
        <v>0</v>
      </c>
      <c r="K11" s="4">
        <v>84193</v>
      </c>
      <c r="L11" s="4">
        <v>3143864</v>
      </c>
      <c r="M11" s="4">
        <v>6136</v>
      </c>
      <c r="N11" s="4"/>
      <c r="O11" s="4">
        <v>28750000</v>
      </c>
      <c r="P11" s="4">
        <v>6136</v>
      </c>
      <c r="Q11" s="4"/>
      <c r="R11" s="4"/>
      <c r="S11" s="4">
        <v>0</v>
      </c>
      <c r="T11" s="4">
        <v>0</v>
      </c>
      <c r="U11" s="4">
        <v>0</v>
      </c>
      <c r="V11" s="4">
        <v>0</v>
      </c>
      <c r="W11" s="4"/>
      <c r="X11" s="4"/>
      <c r="Y11" s="4"/>
      <c r="Z11" s="4"/>
      <c r="AA11" s="3"/>
      <c r="AB11" s="3" t="s">
        <v>895</v>
      </c>
      <c r="AC11" s="3">
        <v>742000</v>
      </c>
      <c r="AD11" s="299"/>
      <c r="AE11" s="299"/>
      <c r="AF11" s="299"/>
      <c r="AG11" s="299"/>
      <c r="AH11" s="299"/>
      <c r="AI11" s="299"/>
      <c r="AJ11" s="299"/>
      <c r="AK11" s="27"/>
      <c r="AL11" s="27"/>
      <c r="AM11" s="27"/>
    </row>
    <row r="12" spans="1:39" s="5" customFormat="1" ht="45" customHeight="1">
      <c r="A12" s="3">
        <f t="shared" si="0"/>
        <v>8</v>
      </c>
      <c r="B12" s="3">
        <v>1100</v>
      </c>
      <c r="C12" s="3" t="s">
        <v>17</v>
      </c>
      <c r="D12" s="4">
        <v>6650000</v>
      </c>
      <c r="E12" s="4">
        <v>7000000</v>
      </c>
      <c r="F12" s="4">
        <v>-350000</v>
      </c>
      <c r="G12" s="4">
        <v>6650000</v>
      </c>
      <c r="H12" s="4">
        <v>6618731</v>
      </c>
      <c r="I12" s="4">
        <v>0</v>
      </c>
      <c r="J12" s="4">
        <v>15411</v>
      </c>
      <c r="K12" s="4">
        <v>15411</v>
      </c>
      <c r="L12" s="4">
        <v>6634142</v>
      </c>
      <c r="M12" s="4">
        <v>15858</v>
      </c>
      <c r="N12" s="60"/>
      <c r="O12" s="4">
        <v>0</v>
      </c>
      <c r="P12" s="4">
        <v>15858</v>
      </c>
      <c r="Q12" s="4"/>
      <c r="R12" s="4"/>
      <c r="S12" s="4">
        <v>0</v>
      </c>
      <c r="T12" s="4">
        <v>0</v>
      </c>
      <c r="U12" s="60"/>
      <c r="V12" s="4">
        <v>0</v>
      </c>
      <c r="W12" s="4"/>
      <c r="X12" s="4"/>
      <c r="Y12" s="4"/>
      <c r="Z12" s="4"/>
      <c r="AA12" s="3"/>
      <c r="AB12" s="3" t="s">
        <v>1279</v>
      </c>
      <c r="AC12" s="3">
        <v>732000</v>
      </c>
      <c r="AD12" s="299"/>
      <c r="AE12" s="299"/>
      <c r="AF12" s="299"/>
      <c r="AG12" s="299"/>
      <c r="AH12" s="299"/>
      <c r="AI12" s="299"/>
      <c r="AJ12" s="299"/>
      <c r="AK12" s="27"/>
      <c r="AL12" s="27"/>
      <c r="AM12" s="27"/>
    </row>
    <row r="13" spans="1:39" s="6" customFormat="1" ht="45" customHeight="1">
      <c r="A13" s="3">
        <f t="shared" si="0"/>
        <v>9</v>
      </c>
      <c r="B13" s="3">
        <v>1129</v>
      </c>
      <c r="C13" s="3" t="s">
        <v>31</v>
      </c>
      <c r="D13" s="4">
        <v>7000000</v>
      </c>
      <c r="E13" s="4">
        <v>7000000</v>
      </c>
      <c r="F13" s="4">
        <v>0</v>
      </c>
      <c r="G13" s="4">
        <v>6791771</v>
      </c>
      <c r="H13" s="4">
        <v>5976386</v>
      </c>
      <c r="I13" s="4">
        <v>0</v>
      </c>
      <c r="J13" s="4">
        <v>788942</v>
      </c>
      <c r="K13" s="4">
        <v>788942</v>
      </c>
      <c r="L13" s="4">
        <v>6765328</v>
      </c>
      <c r="M13" s="4">
        <v>26443</v>
      </c>
      <c r="N13" s="4">
        <v>100000</v>
      </c>
      <c r="O13" s="4">
        <v>108229</v>
      </c>
      <c r="P13" s="4">
        <v>26443</v>
      </c>
      <c r="Q13" s="4"/>
      <c r="R13" s="4"/>
      <c r="S13" s="4">
        <v>0</v>
      </c>
      <c r="T13" s="4">
        <v>0</v>
      </c>
      <c r="U13" s="4">
        <v>100000</v>
      </c>
      <c r="V13" s="4">
        <v>100000</v>
      </c>
      <c r="W13" s="4"/>
      <c r="X13" s="4"/>
      <c r="Y13" s="4"/>
      <c r="Z13" s="4"/>
      <c r="AA13" s="3"/>
      <c r="AB13" s="3" t="s">
        <v>340</v>
      </c>
      <c r="AC13" s="3">
        <v>742000</v>
      </c>
      <c r="AD13" s="299"/>
      <c r="AE13" s="299"/>
      <c r="AF13" s="299"/>
      <c r="AG13" s="299"/>
      <c r="AH13" s="299"/>
      <c r="AI13" s="299"/>
      <c r="AJ13" s="299"/>
      <c r="AK13" s="27"/>
      <c r="AL13" s="27"/>
      <c r="AM13" s="27"/>
    </row>
    <row r="14" spans="1:39" s="5" customFormat="1" ht="45" customHeight="1">
      <c r="A14" s="3">
        <f t="shared" si="0"/>
        <v>10</v>
      </c>
      <c r="B14" s="3">
        <v>1220</v>
      </c>
      <c r="C14" s="3" t="s">
        <v>33</v>
      </c>
      <c r="D14" s="4">
        <v>7260000</v>
      </c>
      <c r="E14" s="4">
        <v>7260000</v>
      </c>
      <c r="F14" s="4">
        <v>0</v>
      </c>
      <c r="G14" s="4">
        <v>6260000</v>
      </c>
      <c r="H14" s="4">
        <v>5783224</v>
      </c>
      <c r="I14" s="4">
        <v>0</v>
      </c>
      <c r="J14" s="4">
        <v>375025</v>
      </c>
      <c r="K14" s="4">
        <v>375025</v>
      </c>
      <c r="L14" s="4">
        <v>6158249</v>
      </c>
      <c r="M14" s="4">
        <v>101751</v>
      </c>
      <c r="N14" s="4">
        <v>500000</v>
      </c>
      <c r="O14" s="4">
        <v>500000</v>
      </c>
      <c r="P14" s="4">
        <v>101751</v>
      </c>
      <c r="Q14" s="4"/>
      <c r="R14" s="4"/>
      <c r="S14" s="4">
        <v>0</v>
      </c>
      <c r="T14" s="4">
        <v>0</v>
      </c>
      <c r="U14" s="4">
        <v>500000</v>
      </c>
      <c r="V14" s="4">
        <v>500000</v>
      </c>
      <c r="W14" s="4"/>
      <c r="X14" s="4"/>
      <c r="Y14" s="4"/>
      <c r="Z14" s="4"/>
      <c r="AA14" s="3"/>
      <c r="AB14" s="3" t="s">
        <v>896</v>
      </c>
      <c r="AC14" s="3">
        <v>732000</v>
      </c>
      <c r="AD14" s="299"/>
      <c r="AE14" s="299"/>
      <c r="AF14" s="299"/>
      <c r="AG14" s="299"/>
      <c r="AH14" s="299"/>
      <c r="AI14" s="299"/>
      <c r="AJ14" s="299"/>
      <c r="AK14" s="27"/>
      <c r="AL14" s="27"/>
      <c r="AM14" s="27"/>
    </row>
    <row r="15" spans="1:39" s="6" customFormat="1" ht="45" customHeight="1">
      <c r="A15" s="3">
        <f t="shared" si="0"/>
        <v>11</v>
      </c>
      <c r="B15" s="3">
        <v>1366</v>
      </c>
      <c r="C15" s="3" t="s">
        <v>36</v>
      </c>
      <c r="D15" s="4">
        <v>1500000</v>
      </c>
      <c r="E15" s="4">
        <v>1500000</v>
      </c>
      <c r="F15" s="4">
        <v>0</v>
      </c>
      <c r="G15" s="4">
        <v>1076000</v>
      </c>
      <c r="H15" s="4">
        <v>818127</v>
      </c>
      <c r="I15" s="4">
        <v>0</v>
      </c>
      <c r="J15" s="4">
        <v>159951</v>
      </c>
      <c r="K15" s="4">
        <v>159951</v>
      </c>
      <c r="L15" s="4">
        <v>978078</v>
      </c>
      <c r="M15" s="4">
        <v>97922</v>
      </c>
      <c r="N15" s="4">
        <v>300000</v>
      </c>
      <c r="O15" s="4">
        <v>124000</v>
      </c>
      <c r="P15" s="4">
        <v>97922</v>
      </c>
      <c r="Q15" s="4"/>
      <c r="R15" s="4"/>
      <c r="S15" s="4">
        <v>0</v>
      </c>
      <c r="T15" s="4">
        <v>0</v>
      </c>
      <c r="U15" s="4">
        <v>300000</v>
      </c>
      <c r="V15" s="4">
        <v>300000</v>
      </c>
      <c r="W15" s="4"/>
      <c r="X15" s="4"/>
      <c r="Y15" s="4"/>
      <c r="Z15" s="4"/>
      <c r="AA15" s="3"/>
      <c r="AB15" s="3" t="s">
        <v>551</v>
      </c>
      <c r="AC15" s="3">
        <v>742000</v>
      </c>
      <c r="AD15" s="299"/>
      <c r="AE15" s="299"/>
      <c r="AF15" s="299"/>
      <c r="AG15" s="299"/>
      <c r="AH15" s="299"/>
      <c r="AI15" s="299"/>
      <c r="AJ15" s="299"/>
      <c r="AK15" s="27"/>
      <c r="AL15" s="27"/>
      <c r="AM15" s="27"/>
    </row>
    <row r="16" spans="1:39" s="6" customFormat="1" ht="45" customHeight="1">
      <c r="A16" s="3">
        <f t="shared" si="0"/>
        <v>12</v>
      </c>
      <c r="B16" s="3">
        <v>1406</v>
      </c>
      <c r="C16" s="3" t="s">
        <v>105</v>
      </c>
      <c r="D16" s="4">
        <v>1250000</v>
      </c>
      <c r="E16" s="4">
        <v>1350000</v>
      </c>
      <c r="F16" s="4">
        <v>-100000</v>
      </c>
      <c r="G16" s="4">
        <v>1200000</v>
      </c>
      <c r="H16" s="4">
        <v>1036453</v>
      </c>
      <c r="I16" s="4">
        <v>0</v>
      </c>
      <c r="J16" s="4">
        <v>138702</v>
      </c>
      <c r="K16" s="4">
        <v>138702</v>
      </c>
      <c r="L16" s="4">
        <v>1175155</v>
      </c>
      <c r="M16" s="4">
        <v>74845</v>
      </c>
      <c r="N16" s="60"/>
      <c r="O16" s="4">
        <v>0</v>
      </c>
      <c r="P16" s="4">
        <v>24845</v>
      </c>
      <c r="Q16" s="434">
        <v>50000</v>
      </c>
      <c r="R16" s="4"/>
      <c r="S16" s="4">
        <v>50000</v>
      </c>
      <c r="T16" s="4">
        <v>0</v>
      </c>
      <c r="U16" s="60"/>
      <c r="V16" s="4">
        <v>0</v>
      </c>
      <c r="W16" s="4"/>
      <c r="X16" s="4"/>
      <c r="Y16" s="4"/>
      <c r="Z16" s="4"/>
      <c r="AA16" s="3"/>
      <c r="AB16" s="3" t="s">
        <v>1179</v>
      </c>
      <c r="AC16" s="3">
        <v>732000</v>
      </c>
      <c r="AD16" s="299"/>
      <c r="AE16" s="299"/>
      <c r="AF16" s="299"/>
      <c r="AG16" s="299"/>
      <c r="AH16" s="299"/>
      <c r="AI16" s="299"/>
      <c r="AJ16" s="299"/>
      <c r="AK16" s="27"/>
      <c r="AL16" s="27"/>
      <c r="AM16" s="27"/>
    </row>
    <row r="17" spans="1:39" s="6" customFormat="1" ht="45" customHeight="1">
      <c r="A17" s="3">
        <f t="shared" si="0"/>
        <v>13</v>
      </c>
      <c r="B17" s="3">
        <v>1407</v>
      </c>
      <c r="C17" s="3" t="s">
        <v>18</v>
      </c>
      <c r="D17" s="4">
        <v>5295000</v>
      </c>
      <c r="E17" s="4">
        <v>5295000</v>
      </c>
      <c r="F17" s="4">
        <v>0</v>
      </c>
      <c r="G17" s="4">
        <v>4145000</v>
      </c>
      <c r="H17" s="4">
        <v>2899736</v>
      </c>
      <c r="I17" s="4">
        <v>44037</v>
      </c>
      <c r="J17" s="4">
        <v>822297</v>
      </c>
      <c r="K17" s="4">
        <v>866334</v>
      </c>
      <c r="L17" s="4">
        <v>3766070</v>
      </c>
      <c r="M17" s="4">
        <v>378930</v>
      </c>
      <c r="N17" s="4">
        <v>700000</v>
      </c>
      <c r="O17" s="4">
        <v>450000</v>
      </c>
      <c r="P17" s="4">
        <v>378930</v>
      </c>
      <c r="Q17" s="4"/>
      <c r="R17" s="4"/>
      <c r="S17" s="4">
        <v>0</v>
      </c>
      <c r="T17" s="4">
        <v>0</v>
      </c>
      <c r="U17" s="4">
        <v>700000</v>
      </c>
      <c r="V17" s="4">
        <v>700000</v>
      </c>
      <c r="W17" s="4"/>
      <c r="X17" s="4"/>
      <c r="Y17" s="4"/>
      <c r="Z17" s="4"/>
      <c r="AA17" s="3"/>
      <c r="AB17" s="3" t="s">
        <v>576</v>
      </c>
      <c r="AC17" s="3">
        <v>732000</v>
      </c>
      <c r="AD17" s="299"/>
      <c r="AE17" s="299"/>
      <c r="AF17" s="299"/>
      <c r="AG17" s="299"/>
      <c r="AH17" s="299"/>
      <c r="AI17" s="299"/>
      <c r="AJ17" s="299"/>
      <c r="AK17" s="27"/>
      <c r="AL17" s="27"/>
      <c r="AM17" s="27"/>
    </row>
    <row r="18" spans="1:39" s="5" customFormat="1" ht="45" customHeight="1">
      <c r="A18" s="3">
        <f t="shared" si="0"/>
        <v>14</v>
      </c>
      <c r="B18" s="3">
        <v>1409</v>
      </c>
      <c r="C18" s="28" t="s">
        <v>1280</v>
      </c>
      <c r="D18" s="4">
        <v>7680000</v>
      </c>
      <c r="E18" s="4">
        <v>7680000</v>
      </c>
      <c r="F18" s="4">
        <v>0</v>
      </c>
      <c r="G18" s="4">
        <v>7230000</v>
      </c>
      <c r="H18" s="4">
        <v>5099564</v>
      </c>
      <c r="I18" s="4">
        <v>1314720</v>
      </c>
      <c r="J18" s="4">
        <v>0</v>
      </c>
      <c r="K18" s="4">
        <v>1314720</v>
      </c>
      <c r="L18" s="4">
        <v>6414284</v>
      </c>
      <c r="M18" s="4">
        <v>716</v>
      </c>
      <c r="N18" s="4">
        <v>570000</v>
      </c>
      <c r="O18" s="4">
        <v>695000</v>
      </c>
      <c r="P18" s="4">
        <v>815716</v>
      </c>
      <c r="Q18" s="4"/>
      <c r="R18" s="4"/>
      <c r="S18" s="4">
        <v>0</v>
      </c>
      <c r="T18" s="4">
        <v>815000</v>
      </c>
      <c r="U18" s="4">
        <v>-245000</v>
      </c>
      <c r="V18" s="4">
        <v>-245000</v>
      </c>
      <c r="W18" s="4"/>
      <c r="X18" s="4"/>
      <c r="Y18" s="4"/>
      <c r="Z18" s="4"/>
      <c r="AA18" s="3"/>
      <c r="AB18" s="3" t="s">
        <v>578</v>
      </c>
      <c r="AC18" s="3">
        <v>732000</v>
      </c>
      <c r="AD18" s="299"/>
      <c r="AE18" s="299"/>
      <c r="AF18" s="299"/>
      <c r="AG18" s="299"/>
      <c r="AH18" s="299"/>
      <c r="AI18" s="299"/>
      <c r="AJ18" s="299"/>
      <c r="AK18" s="27"/>
      <c r="AL18" s="27"/>
      <c r="AM18" s="27"/>
    </row>
    <row r="19" spans="1:39" s="5" customFormat="1" ht="45" customHeight="1">
      <c r="A19" s="3">
        <f t="shared" si="0"/>
        <v>15</v>
      </c>
      <c r="B19" s="3">
        <v>1466</v>
      </c>
      <c r="C19" s="3" t="s">
        <v>19</v>
      </c>
      <c r="D19" s="4">
        <v>2200000</v>
      </c>
      <c r="E19" s="4">
        <v>2200000</v>
      </c>
      <c r="F19" s="4">
        <v>0</v>
      </c>
      <c r="G19" s="4">
        <v>1600000</v>
      </c>
      <c r="H19" s="4">
        <v>1287086</v>
      </c>
      <c r="I19" s="4">
        <v>0</v>
      </c>
      <c r="J19" s="4">
        <v>85206</v>
      </c>
      <c r="K19" s="4">
        <v>85206</v>
      </c>
      <c r="L19" s="4">
        <v>1372292</v>
      </c>
      <c r="M19" s="4">
        <v>227708</v>
      </c>
      <c r="N19" s="4">
        <v>100000</v>
      </c>
      <c r="O19" s="4">
        <v>500000</v>
      </c>
      <c r="P19" s="4">
        <v>227708</v>
      </c>
      <c r="Q19" s="4"/>
      <c r="R19" s="4"/>
      <c r="S19" s="4">
        <v>0</v>
      </c>
      <c r="T19" s="4">
        <v>0</v>
      </c>
      <c r="U19" s="4">
        <v>100000</v>
      </c>
      <c r="V19" s="4">
        <v>100000</v>
      </c>
      <c r="W19" s="4"/>
      <c r="X19" s="4"/>
      <c r="Y19" s="4"/>
      <c r="Z19" s="4"/>
      <c r="AA19" s="3"/>
      <c r="AB19" s="3" t="s">
        <v>897</v>
      </c>
      <c r="AC19" s="3">
        <v>732000</v>
      </c>
      <c r="AD19" s="299"/>
      <c r="AE19" s="299"/>
      <c r="AF19" s="299"/>
      <c r="AG19" s="299"/>
      <c r="AH19" s="299"/>
      <c r="AI19" s="299"/>
      <c r="AJ19" s="299"/>
      <c r="AK19" s="27"/>
      <c r="AL19" s="27"/>
      <c r="AM19" s="27"/>
    </row>
    <row r="20" spans="1:39" s="5" customFormat="1" ht="55.2">
      <c r="A20" s="3">
        <f t="shared" si="0"/>
        <v>16</v>
      </c>
      <c r="B20" s="3">
        <v>1511</v>
      </c>
      <c r="C20" s="3" t="s">
        <v>37</v>
      </c>
      <c r="D20" s="4">
        <v>17284</v>
      </c>
      <c r="E20" s="4">
        <v>960000</v>
      </c>
      <c r="F20" s="4">
        <v>-942716</v>
      </c>
      <c r="G20" s="4">
        <v>100000</v>
      </c>
      <c r="H20" s="4">
        <v>17284</v>
      </c>
      <c r="I20" s="4">
        <v>0</v>
      </c>
      <c r="J20" s="4">
        <v>0</v>
      </c>
      <c r="K20" s="4">
        <v>0</v>
      </c>
      <c r="L20" s="4">
        <v>17284</v>
      </c>
      <c r="M20" s="4">
        <v>0</v>
      </c>
      <c r="N20" s="4">
        <v>0</v>
      </c>
      <c r="O20" s="4">
        <v>0</v>
      </c>
      <c r="P20" s="4">
        <v>82716</v>
      </c>
      <c r="Q20" s="4"/>
      <c r="R20" s="4"/>
      <c r="S20" s="4">
        <v>0</v>
      </c>
      <c r="T20" s="4">
        <v>82716</v>
      </c>
      <c r="U20" s="4">
        <v>-82716</v>
      </c>
      <c r="V20" s="4">
        <v>0</v>
      </c>
      <c r="W20" s="4"/>
      <c r="X20" s="4"/>
      <c r="Y20" s="4"/>
      <c r="Z20" s="4"/>
      <c r="AA20" s="4">
        <v>-82716</v>
      </c>
      <c r="AB20" s="3" t="s">
        <v>1180</v>
      </c>
      <c r="AC20" s="3">
        <v>742000</v>
      </c>
      <c r="AD20" s="299"/>
      <c r="AE20" s="299"/>
      <c r="AF20" s="299"/>
      <c r="AG20" s="299"/>
      <c r="AH20" s="299"/>
      <c r="AI20" s="299"/>
      <c r="AJ20" s="299"/>
      <c r="AK20" s="27"/>
      <c r="AL20" s="27"/>
      <c r="AM20" s="27"/>
    </row>
    <row r="21" spans="1:39" s="5" customFormat="1" ht="45" customHeight="1">
      <c r="A21" s="3">
        <f t="shared" si="0"/>
        <v>17</v>
      </c>
      <c r="B21" s="3">
        <v>1527</v>
      </c>
      <c r="C21" s="3" t="s">
        <v>686</v>
      </c>
      <c r="D21" s="4">
        <v>3000000</v>
      </c>
      <c r="E21" s="4">
        <v>3000000</v>
      </c>
      <c r="F21" s="4">
        <v>0</v>
      </c>
      <c r="G21" s="4">
        <v>1150000</v>
      </c>
      <c r="H21" s="4">
        <v>881984</v>
      </c>
      <c r="I21" s="4">
        <v>0</v>
      </c>
      <c r="J21" s="4">
        <v>0</v>
      </c>
      <c r="K21" s="4">
        <v>0</v>
      </c>
      <c r="L21" s="4">
        <v>881984</v>
      </c>
      <c r="M21" s="4">
        <v>8016</v>
      </c>
      <c r="N21" s="4">
        <v>400000</v>
      </c>
      <c r="O21" s="4">
        <v>1710000</v>
      </c>
      <c r="P21" s="4">
        <v>268016</v>
      </c>
      <c r="Q21" s="4"/>
      <c r="R21" s="4"/>
      <c r="S21" s="4">
        <v>0</v>
      </c>
      <c r="T21" s="4">
        <v>260000</v>
      </c>
      <c r="U21" s="4">
        <v>140000</v>
      </c>
      <c r="V21" s="4">
        <v>140000</v>
      </c>
      <c r="W21" s="4"/>
      <c r="X21" s="4"/>
      <c r="Y21" s="4"/>
      <c r="Z21" s="4"/>
      <c r="AA21" s="3"/>
      <c r="AB21" s="3" t="s">
        <v>1353</v>
      </c>
      <c r="AC21" s="3">
        <v>732000</v>
      </c>
      <c r="AD21" s="299"/>
      <c r="AE21" s="299"/>
      <c r="AF21" s="299"/>
      <c r="AG21" s="299"/>
      <c r="AH21" s="299"/>
      <c r="AI21" s="299"/>
      <c r="AJ21" s="299"/>
      <c r="AK21" s="27"/>
      <c r="AL21" s="27"/>
      <c r="AM21" s="27"/>
    </row>
    <row r="22" spans="1:39" s="5" customFormat="1" ht="45" customHeight="1">
      <c r="A22" s="3">
        <f t="shared" si="0"/>
        <v>18</v>
      </c>
      <c r="B22" s="3">
        <v>1529</v>
      </c>
      <c r="C22" s="3" t="s">
        <v>44</v>
      </c>
      <c r="D22" s="4">
        <v>700000</v>
      </c>
      <c r="E22" s="4">
        <v>700000</v>
      </c>
      <c r="F22" s="4">
        <v>0</v>
      </c>
      <c r="G22" s="4">
        <v>500000</v>
      </c>
      <c r="H22" s="4">
        <v>416686</v>
      </c>
      <c r="I22" s="4">
        <v>0</v>
      </c>
      <c r="J22" s="4">
        <v>17035</v>
      </c>
      <c r="K22" s="4">
        <v>17035</v>
      </c>
      <c r="L22" s="4">
        <v>433721</v>
      </c>
      <c r="M22" s="4">
        <v>16279</v>
      </c>
      <c r="N22" s="4">
        <v>200000</v>
      </c>
      <c r="O22" s="4">
        <v>50000</v>
      </c>
      <c r="P22" s="4">
        <v>66279</v>
      </c>
      <c r="Q22" s="4"/>
      <c r="R22" s="4"/>
      <c r="S22" s="4">
        <v>0</v>
      </c>
      <c r="T22" s="4">
        <v>50000</v>
      </c>
      <c r="U22" s="4">
        <v>150000</v>
      </c>
      <c r="V22" s="4">
        <v>150000</v>
      </c>
      <c r="W22" s="4"/>
      <c r="X22" s="4"/>
      <c r="Y22" s="4"/>
      <c r="Z22" s="4"/>
      <c r="AA22" s="3"/>
      <c r="AB22" s="3" t="s">
        <v>325</v>
      </c>
      <c r="AC22" s="3">
        <v>760000</v>
      </c>
      <c r="AD22" s="299"/>
      <c r="AE22" s="299"/>
      <c r="AF22" s="299"/>
      <c r="AG22" s="299"/>
      <c r="AH22" s="299"/>
      <c r="AI22" s="299"/>
      <c r="AJ22" s="299"/>
      <c r="AK22" s="27"/>
      <c r="AL22" s="27"/>
      <c r="AM22" s="27"/>
    </row>
    <row r="23" spans="1:39" s="5" customFormat="1" ht="55.2">
      <c r="A23" s="3">
        <f t="shared" si="0"/>
        <v>19</v>
      </c>
      <c r="B23" s="3">
        <v>1551</v>
      </c>
      <c r="C23" s="3" t="s">
        <v>1393</v>
      </c>
      <c r="D23" s="4">
        <v>525240</v>
      </c>
      <c r="E23" s="4">
        <v>525240</v>
      </c>
      <c r="F23" s="4">
        <v>0</v>
      </c>
      <c r="G23" s="4">
        <v>375240</v>
      </c>
      <c r="H23" s="4">
        <v>225965</v>
      </c>
      <c r="I23" s="4">
        <v>18729</v>
      </c>
      <c r="J23" s="4">
        <v>0</v>
      </c>
      <c r="K23" s="4">
        <v>18729</v>
      </c>
      <c r="L23" s="4">
        <v>244694</v>
      </c>
      <c r="M23" s="4">
        <v>546</v>
      </c>
      <c r="N23" s="4">
        <v>150000</v>
      </c>
      <c r="O23" s="4">
        <v>130000</v>
      </c>
      <c r="P23" s="4">
        <v>130546</v>
      </c>
      <c r="Q23" s="4"/>
      <c r="R23" s="4"/>
      <c r="S23" s="4"/>
      <c r="T23" s="4">
        <v>130000</v>
      </c>
      <c r="U23" s="4">
        <v>20000</v>
      </c>
      <c r="V23" s="4">
        <v>20000</v>
      </c>
      <c r="W23" s="4"/>
      <c r="X23" s="4"/>
      <c r="Y23" s="4"/>
      <c r="Z23" s="4"/>
      <c r="AA23" s="3"/>
      <c r="AB23" s="3" t="s">
        <v>554</v>
      </c>
      <c r="AC23" s="3">
        <v>732000</v>
      </c>
      <c r="AD23" s="299"/>
      <c r="AE23" s="299"/>
      <c r="AF23" s="299"/>
      <c r="AG23" s="299"/>
      <c r="AH23" s="299"/>
      <c r="AI23" s="299"/>
      <c r="AJ23" s="299"/>
      <c r="AK23" s="27"/>
      <c r="AL23" s="27"/>
      <c r="AM23" s="27"/>
    </row>
    <row r="24" spans="1:39" s="6" customFormat="1" ht="45" customHeight="1">
      <c r="A24" s="3">
        <f t="shared" si="0"/>
        <v>20</v>
      </c>
      <c r="B24" s="3">
        <v>1568</v>
      </c>
      <c r="C24" s="3" t="s">
        <v>45</v>
      </c>
      <c r="D24" s="4">
        <v>46375301</v>
      </c>
      <c r="E24" s="4">
        <v>46375301</v>
      </c>
      <c r="F24" s="4">
        <v>0</v>
      </c>
      <c r="G24" s="4">
        <v>28625301</v>
      </c>
      <c r="H24" s="4">
        <v>27779038</v>
      </c>
      <c r="I24" s="4">
        <v>0</v>
      </c>
      <c r="J24" s="4">
        <v>33946</v>
      </c>
      <c r="K24" s="4">
        <v>33946</v>
      </c>
      <c r="L24" s="4">
        <v>27812984</v>
      </c>
      <c r="M24" s="4">
        <v>12317</v>
      </c>
      <c r="N24" s="4">
        <v>0</v>
      </c>
      <c r="O24" s="4">
        <v>18550000</v>
      </c>
      <c r="P24" s="4">
        <v>812317</v>
      </c>
      <c r="Q24" s="4"/>
      <c r="R24" s="4"/>
      <c r="S24" s="4"/>
      <c r="T24" s="4">
        <v>800000</v>
      </c>
      <c r="U24" s="4">
        <v>-800000</v>
      </c>
      <c r="V24" s="4">
        <v>-800000</v>
      </c>
      <c r="W24" s="4"/>
      <c r="X24" s="4"/>
      <c r="Y24" s="4"/>
      <c r="Z24" s="4"/>
      <c r="AA24" s="3"/>
      <c r="AB24" s="3"/>
      <c r="AC24" s="3">
        <v>746000</v>
      </c>
      <c r="AD24" s="299"/>
      <c r="AE24" s="299"/>
      <c r="AF24" s="299"/>
      <c r="AG24" s="299"/>
      <c r="AH24" s="299"/>
      <c r="AI24" s="299"/>
      <c r="AJ24" s="299"/>
      <c r="AK24" s="27"/>
      <c r="AL24" s="27"/>
      <c r="AM24" s="27"/>
    </row>
    <row r="25" spans="1:39" s="5" customFormat="1" ht="45" customHeight="1">
      <c r="A25" s="3">
        <f t="shared" si="0"/>
        <v>21</v>
      </c>
      <c r="B25" s="3">
        <v>1576</v>
      </c>
      <c r="C25" s="3" t="s">
        <v>46</v>
      </c>
      <c r="D25" s="4">
        <v>1000000</v>
      </c>
      <c r="E25" s="4">
        <v>1000000</v>
      </c>
      <c r="F25" s="4">
        <v>0</v>
      </c>
      <c r="G25" s="4">
        <v>450000</v>
      </c>
      <c r="H25" s="4">
        <v>376310</v>
      </c>
      <c r="I25" s="4">
        <v>0</v>
      </c>
      <c r="J25" s="4">
        <v>0</v>
      </c>
      <c r="K25" s="4">
        <v>0</v>
      </c>
      <c r="L25" s="4">
        <v>376310</v>
      </c>
      <c r="M25" s="4">
        <v>3690</v>
      </c>
      <c r="N25" s="4">
        <v>70000</v>
      </c>
      <c r="O25" s="4">
        <v>550000</v>
      </c>
      <c r="P25" s="4">
        <v>73690</v>
      </c>
      <c r="Q25" s="4"/>
      <c r="R25" s="4"/>
      <c r="S25" s="4">
        <v>0</v>
      </c>
      <c r="T25" s="4">
        <v>70000</v>
      </c>
      <c r="U25" s="4">
        <v>0</v>
      </c>
      <c r="V25" s="4">
        <v>0</v>
      </c>
      <c r="W25" s="4"/>
      <c r="X25" s="4"/>
      <c r="Y25" s="4"/>
      <c r="Z25" s="4"/>
      <c r="AA25" s="3"/>
      <c r="AB25" s="3" t="s">
        <v>341</v>
      </c>
      <c r="AC25" s="3">
        <v>732000</v>
      </c>
      <c r="AD25" s="299"/>
      <c r="AE25" s="299"/>
      <c r="AF25" s="299"/>
      <c r="AG25" s="299"/>
      <c r="AH25" s="299"/>
      <c r="AI25" s="299"/>
      <c r="AJ25" s="299"/>
      <c r="AK25" s="27"/>
      <c r="AL25" s="27"/>
      <c r="AM25" s="27"/>
    </row>
    <row r="26" spans="1:39" s="6" customFormat="1" ht="45" customHeight="1">
      <c r="A26" s="3">
        <f t="shared" si="0"/>
        <v>22</v>
      </c>
      <c r="B26" s="3">
        <v>1587</v>
      </c>
      <c r="C26" s="3" t="s">
        <v>94</v>
      </c>
      <c r="D26" s="4">
        <v>34200000</v>
      </c>
      <c r="E26" s="4">
        <v>34200000</v>
      </c>
      <c r="F26" s="4">
        <v>0</v>
      </c>
      <c r="G26" s="4">
        <v>12550000</v>
      </c>
      <c r="H26" s="4">
        <v>9821195</v>
      </c>
      <c r="I26" s="4">
        <v>1026063</v>
      </c>
      <c r="J26" s="4">
        <v>496356</v>
      </c>
      <c r="K26" s="4">
        <v>1522419</v>
      </c>
      <c r="L26" s="4">
        <v>11343614</v>
      </c>
      <c r="M26" s="4">
        <v>1366386</v>
      </c>
      <c r="N26" s="4">
        <v>2500000</v>
      </c>
      <c r="O26" s="4">
        <v>18990000</v>
      </c>
      <c r="P26" s="4">
        <v>1206386</v>
      </c>
      <c r="Q26" s="435">
        <v>160000</v>
      </c>
      <c r="R26" s="4"/>
      <c r="S26" s="4">
        <v>160000</v>
      </c>
      <c r="T26" s="4">
        <v>0</v>
      </c>
      <c r="U26" s="4">
        <v>2500000</v>
      </c>
      <c r="V26" s="4">
        <v>2500000</v>
      </c>
      <c r="W26" s="4"/>
      <c r="X26" s="4"/>
      <c r="Y26" s="4"/>
      <c r="Z26" s="4"/>
      <c r="AA26" s="3"/>
      <c r="AB26" s="3" t="s">
        <v>1267</v>
      </c>
      <c r="AC26" s="3">
        <v>742000</v>
      </c>
      <c r="AD26" s="299"/>
      <c r="AE26" s="299"/>
      <c r="AF26" s="299"/>
      <c r="AG26" s="299"/>
      <c r="AH26" s="299"/>
      <c r="AI26" s="299"/>
      <c r="AJ26" s="299"/>
      <c r="AK26" s="27"/>
      <c r="AL26" s="27"/>
      <c r="AM26" s="27"/>
    </row>
    <row r="27" spans="1:39" s="5" customFormat="1" ht="45" customHeight="1">
      <c r="A27" s="3">
        <f t="shared" si="0"/>
        <v>23</v>
      </c>
      <c r="B27" s="3">
        <v>1601</v>
      </c>
      <c r="C27" s="3" t="s">
        <v>38</v>
      </c>
      <c r="D27" s="4">
        <v>700000</v>
      </c>
      <c r="E27" s="4">
        <v>700000</v>
      </c>
      <c r="F27" s="4">
        <v>0</v>
      </c>
      <c r="G27" s="4">
        <v>650000</v>
      </c>
      <c r="H27" s="4">
        <v>538227</v>
      </c>
      <c r="I27" s="4">
        <v>0</v>
      </c>
      <c r="J27" s="4">
        <v>0</v>
      </c>
      <c r="K27" s="4">
        <v>0</v>
      </c>
      <c r="L27" s="4">
        <v>538227</v>
      </c>
      <c r="M27" s="4">
        <v>11773</v>
      </c>
      <c r="N27" s="4">
        <v>50000</v>
      </c>
      <c r="O27" s="4">
        <v>100000</v>
      </c>
      <c r="P27" s="4">
        <v>111773</v>
      </c>
      <c r="Q27" s="4"/>
      <c r="R27" s="4"/>
      <c r="S27" s="4">
        <v>0</v>
      </c>
      <c r="T27" s="4">
        <v>100000</v>
      </c>
      <c r="U27" s="4">
        <v>-50000</v>
      </c>
      <c r="V27" s="4">
        <v>-50000</v>
      </c>
      <c r="W27" s="4"/>
      <c r="X27" s="4"/>
      <c r="Y27" s="4"/>
      <c r="Z27" s="4"/>
      <c r="AA27" s="3"/>
      <c r="AB27" s="3" t="s">
        <v>611</v>
      </c>
      <c r="AC27" s="3">
        <v>742000</v>
      </c>
      <c r="AD27" s="299"/>
      <c r="AE27" s="299"/>
      <c r="AF27" s="299"/>
      <c r="AG27" s="299"/>
      <c r="AH27" s="299"/>
      <c r="AI27" s="299"/>
      <c r="AJ27" s="299"/>
      <c r="AK27" s="27"/>
      <c r="AL27" s="27"/>
      <c r="AM27" s="27"/>
    </row>
    <row r="28" spans="1:39" s="5" customFormat="1" ht="45" customHeight="1">
      <c r="A28" s="3">
        <f t="shared" si="0"/>
        <v>24</v>
      </c>
      <c r="B28" s="3">
        <v>1602</v>
      </c>
      <c r="C28" s="3" t="s">
        <v>26</v>
      </c>
      <c r="D28" s="4">
        <v>31000000</v>
      </c>
      <c r="E28" s="4">
        <v>31000000</v>
      </c>
      <c r="F28" s="4">
        <v>0</v>
      </c>
      <c r="G28" s="4">
        <v>31000000</v>
      </c>
      <c r="H28" s="4">
        <v>30452036</v>
      </c>
      <c r="I28" s="4">
        <v>0</v>
      </c>
      <c r="J28" s="4">
        <v>0</v>
      </c>
      <c r="K28" s="4">
        <v>0</v>
      </c>
      <c r="L28" s="4">
        <v>30452036</v>
      </c>
      <c r="M28" s="4">
        <v>547964</v>
      </c>
      <c r="N28" s="60"/>
      <c r="O28" s="4">
        <v>0</v>
      </c>
      <c r="P28" s="4">
        <v>547964</v>
      </c>
      <c r="Q28" s="4"/>
      <c r="R28" s="4"/>
      <c r="S28" s="4">
        <v>0</v>
      </c>
      <c r="T28" s="4">
        <v>0</v>
      </c>
      <c r="U28" s="4">
        <v>0</v>
      </c>
      <c r="V28" s="4">
        <v>113956</v>
      </c>
      <c r="W28" s="4"/>
      <c r="X28" s="4"/>
      <c r="Y28" s="4"/>
      <c r="Z28" s="4"/>
      <c r="AA28" s="4">
        <v>-113956</v>
      </c>
      <c r="AB28" s="3" t="s">
        <v>1281</v>
      </c>
      <c r="AC28" s="3">
        <v>742000</v>
      </c>
      <c r="AD28" s="299"/>
      <c r="AE28" s="299"/>
      <c r="AF28" s="299"/>
      <c r="AG28" s="299"/>
      <c r="AH28" s="299"/>
      <c r="AI28" s="299"/>
      <c r="AJ28" s="299"/>
      <c r="AK28" s="27"/>
      <c r="AL28" s="27"/>
      <c r="AM28" s="27"/>
    </row>
    <row r="29" spans="1:39" s="5" customFormat="1" ht="69">
      <c r="A29" s="3">
        <f t="shared" si="0"/>
        <v>25</v>
      </c>
      <c r="B29" s="3">
        <v>1620</v>
      </c>
      <c r="C29" s="28" t="s">
        <v>416</v>
      </c>
      <c r="D29" s="297">
        <v>4200000</v>
      </c>
      <c r="E29" s="4">
        <v>1000000</v>
      </c>
      <c r="F29" s="4">
        <v>3200000</v>
      </c>
      <c r="G29" s="4">
        <v>100000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100000</v>
      </c>
      <c r="N29" s="297">
        <v>1000000</v>
      </c>
      <c r="O29" s="4">
        <v>3100000</v>
      </c>
      <c r="P29" s="4">
        <v>100000</v>
      </c>
      <c r="Q29" s="4"/>
      <c r="R29" s="4"/>
      <c r="S29" s="4">
        <v>0</v>
      </c>
      <c r="T29" s="4">
        <v>0</v>
      </c>
      <c r="U29" s="4">
        <v>1000000</v>
      </c>
      <c r="V29" s="4">
        <v>1000000</v>
      </c>
      <c r="W29" s="4"/>
      <c r="X29" s="4"/>
      <c r="Y29" s="4"/>
      <c r="Z29" s="4"/>
      <c r="AA29" s="3"/>
      <c r="AB29" s="3" t="s">
        <v>1181</v>
      </c>
      <c r="AC29" s="3">
        <v>732000</v>
      </c>
      <c r="AD29" s="299"/>
      <c r="AE29" s="299"/>
      <c r="AF29" s="299"/>
      <c r="AG29" s="299"/>
      <c r="AH29" s="299"/>
      <c r="AI29" s="299"/>
      <c r="AJ29" s="299"/>
      <c r="AK29" s="27"/>
      <c r="AL29" s="27"/>
      <c r="AM29" s="27"/>
    </row>
    <row r="30" spans="1:39" s="6" customFormat="1" ht="64.8" customHeight="1">
      <c r="A30" s="3">
        <f t="shared" si="0"/>
        <v>26</v>
      </c>
      <c r="B30" s="3">
        <v>1660</v>
      </c>
      <c r="C30" s="3" t="s">
        <v>20</v>
      </c>
      <c r="D30" s="4">
        <v>2000000</v>
      </c>
      <c r="E30" s="4">
        <v>2000000</v>
      </c>
      <c r="F30" s="4">
        <v>0</v>
      </c>
      <c r="G30" s="4">
        <v>1100000</v>
      </c>
      <c r="H30" s="4">
        <v>200398</v>
      </c>
      <c r="I30" s="4">
        <v>284310</v>
      </c>
      <c r="J30" s="4">
        <v>315018</v>
      </c>
      <c r="K30" s="4">
        <v>599328</v>
      </c>
      <c r="L30" s="4">
        <v>799726</v>
      </c>
      <c r="M30" s="4">
        <v>100274</v>
      </c>
      <c r="N30" s="4">
        <v>400000</v>
      </c>
      <c r="O30" s="4">
        <v>700000</v>
      </c>
      <c r="P30" s="4">
        <v>300274</v>
      </c>
      <c r="Q30" s="4"/>
      <c r="R30" s="4"/>
      <c r="S30" s="4">
        <v>0</v>
      </c>
      <c r="T30" s="4">
        <v>200000</v>
      </c>
      <c r="U30" s="4">
        <v>200000</v>
      </c>
      <c r="V30" s="4">
        <v>200000</v>
      </c>
      <c r="W30" s="4"/>
      <c r="X30" s="4"/>
      <c r="Y30" s="4"/>
      <c r="Z30" s="4"/>
      <c r="AA30" s="3"/>
      <c r="AB30" s="3" t="s">
        <v>950</v>
      </c>
      <c r="AC30" s="3">
        <v>732000</v>
      </c>
      <c r="AD30" s="299"/>
      <c r="AE30" s="299"/>
      <c r="AF30" s="299"/>
      <c r="AG30" s="299"/>
      <c r="AH30" s="299"/>
      <c r="AI30" s="299"/>
      <c r="AJ30" s="299"/>
      <c r="AK30" s="27"/>
      <c r="AL30" s="27"/>
      <c r="AM30" s="27"/>
    </row>
    <row r="31" spans="1:39" s="6" customFormat="1" ht="45" customHeight="1">
      <c r="A31" s="3">
        <f t="shared" si="0"/>
        <v>27</v>
      </c>
      <c r="B31" s="3">
        <v>1674</v>
      </c>
      <c r="C31" s="3" t="s">
        <v>21</v>
      </c>
      <c r="D31" s="4">
        <v>1635000</v>
      </c>
      <c r="E31" s="4">
        <v>1800000</v>
      </c>
      <c r="F31" s="4">
        <v>-165000</v>
      </c>
      <c r="G31" s="4">
        <v>1800000</v>
      </c>
      <c r="H31" s="4">
        <v>1594910</v>
      </c>
      <c r="I31" s="4">
        <v>3578</v>
      </c>
      <c r="J31" s="4">
        <v>34220</v>
      </c>
      <c r="K31" s="4">
        <v>37798</v>
      </c>
      <c r="L31" s="4">
        <v>1632708</v>
      </c>
      <c r="M31" s="4">
        <v>2292</v>
      </c>
      <c r="N31" s="4"/>
      <c r="O31" s="4">
        <v>0</v>
      </c>
      <c r="P31" s="4">
        <v>167292</v>
      </c>
      <c r="Q31" s="4"/>
      <c r="R31" s="4"/>
      <c r="S31" s="4">
        <v>0</v>
      </c>
      <c r="T31" s="4">
        <v>165000</v>
      </c>
      <c r="U31" s="4">
        <v>-165000</v>
      </c>
      <c r="V31" s="4">
        <v>-165000</v>
      </c>
      <c r="W31" s="4"/>
      <c r="X31" s="4"/>
      <c r="Y31" s="4"/>
      <c r="Z31" s="4"/>
      <c r="AA31" s="4"/>
      <c r="AB31" s="3" t="s">
        <v>1268</v>
      </c>
      <c r="AC31" s="3">
        <v>732000</v>
      </c>
      <c r="AD31" s="299"/>
      <c r="AE31" s="299"/>
      <c r="AF31" s="299"/>
      <c r="AG31" s="299"/>
      <c r="AH31" s="299"/>
      <c r="AI31" s="299"/>
      <c r="AJ31" s="299"/>
      <c r="AK31" s="27"/>
      <c r="AL31" s="27"/>
      <c r="AM31" s="27"/>
    </row>
    <row r="32" spans="1:39" s="5" customFormat="1" ht="45" customHeight="1">
      <c r="A32" s="3">
        <f t="shared" si="0"/>
        <v>28</v>
      </c>
      <c r="B32" s="3">
        <v>1692</v>
      </c>
      <c r="C32" s="3" t="s">
        <v>22</v>
      </c>
      <c r="D32" s="4">
        <v>2450000</v>
      </c>
      <c r="E32" s="4">
        <v>2450000</v>
      </c>
      <c r="F32" s="4">
        <v>0</v>
      </c>
      <c r="G32" s="4">
        <v>1746509</v>
      </c>
      <c r="H32" s="4">
        <v>578671</v>
      </c>
      <c r="I32" s="4">
        <v>128716</v>
      </c>
      <c r="J32" s="4">
        <v>0</v>
      </c>
      <c r="K32" s="4">
        <v>128716</v>
      </c>
      <c r="L32" s="4">
        <v>707387</v>
      </c>
      <c r="M32" s="4">
        <v>9122</v>
      </c>
      <c r="N32" s="4">
        <v>1030000</v>
      </c>
      <c r="O32" s="4">
        <v>703491</v>
      </c>
      <c r="P32" s="4">
        <v>1039122</v>
      </c>
      <c r="Q32" s="4"/>
      <c r="R32" s="4"/>
      <c r="S32" s="4">
        <v>0</v>
      </c>
      <c r="T32" s="4">
        <v>1030000</v>
      </c>
      <c r="U32" s="4">
        <v>0</v>
      </c>
      <c r="V32" s="4">
        <v>0</v>
      </c>
      <c r="W32" s="4"/>
      <c r="X32" s="4"/>
      <c r="Y32" s="4"/>
      <c r="Z32" s="4"/>
      <c r="AA32" s="4"/>
      <c r="AB32" s="3" t="s">
        <v>1354</v>
      </c>
      <c r="AC32" s="3">
        <v>732000</v>
      </c>
      <c r="AD32" s="299"/>
      <c r="AE32" s="299"/>
      <c r="AF32" s="299"/>
      <c r="AG32" s="299"/>
      <c r="AH32" s="299"/>
      <c r="AI32" s="299"/>
      <c r="AJ32" s="299"/>
      <c r="AK32" s="27"/>
      <c r="AL32" s="27"/>
      <c r="AM32" s="27"/>
    </row>
    <row r="33" spans="1:39" s="5" customFormat="1" ht="45" customHeight="1">
      <c r="A33" s="3">
        <f t="shared" si="0"/>
        <v>29</v>
      </c>
      <c r="B33" s="3">
        <v>1701</v>
      </c>
      <c r="C33" s="3" t="s">
        <v>259</v>
      </c>
      <c r="D33" s="4">
        <v>1250000</v>
      </c>
      <c r="E33" s="4">
        <v>1250000</v>
      </c>
      <c r="F33" s="4">
        <v>0</v>
      </c>
      <c r="G33" s="4">
        <v>570000</v>
      </c>
      <c r="H33" s="4">
        <v>149316</v>
      </c>
      <c r="I33" s="4">
        <v>75117</v>
      </c>
      <c r="J33" s="4">
        <v>144812</v>
      </c>
      <c r="K33" s="4">
        <v>219929</v>
      </c>
      <c r="L33" s="4">
        <v>369245</v>
      </c>
      <c r="M33" s="4">
        <v>100755</v>
      </c>
      <c r="N33" s="4">
        <v>100000</v>
      </c>
      <c r="O33" s="4">
        <v>680000</v>
      </c>
      <c r="P33" s="4">
        <v>200755</v>
      </c>
      <c r="Q33" s="4"/>
      <c r="R33" s="4"/>
      <c r="S33" s="4">
        <v>0</v>
      </c>
      <c r="T33" s="4">
        <v>100000</v>
      </c>
      <c r="U33" s="4">
        <v>0</v>
      </c>
      <c r="V33" s="4">
        <v>0</v>
      </c>
      <c r="W33" s="4"/>
      <c r="X33" s="4"/>
      <c r="Y33" s="4"/>
      <c r="Z33" s="4"/>
      <c r="AA33" s="3"/>
      <c r="AB33" s="3" t="s">
        <v>556</v>
      </c>
      <c r="AC33" s="3">
        <v>732000</v>
      </c>
      <c r="AD33" s="299"/>
      <c r="AE33" s="299"/>
      <c r="AF33" s="299"/>
      <c r="AG33" s="299"/>
      <c r="AH33" s="299"/>
      <c r="AI33" s="299"/>
      <c r="AJ33" s="299"/>
      <c r="AK33" s="27"/>
      <c r="AL33" s="27"/>
      <c r="AM33" s="27"/>
    </row>
    <row r="34" spans="1:39" s="5" customFormat="1" ht="45" customHeight="1">
      <c r="A34" s="3">
        <f t="shared" si="0"/>
        <v>30</v>
      </c>
      <c r="B34" s="3">
        <v>1722</v>
      </c>
      <c r="C34" s="3" t="s">
        <v>39</v>
      </c>
      <c r="D34" s="4">
        <v>2400000</v>
      </c>
      <c r="E34" s="4">
        <v>2400000</v>
      </c>
      <c r="F34" s="4">
        <v>0</v>
      </c>
      <c r="G34" s="4">
        <v>300000</v>
      </c>
      <c r="H34" s="4">
        <v>100501</v>
      </c>
      <c r="I34" s="4">
        <v>67053</v>
      </c>
      <c r="J34" s="4">
        <v>0</v>
      </c>
      <c r="K34" s="4">
        <v>67053</v>
      </c>
      <c r="L34" s="4">
        <v>167554</v>
      </c>
      <c r="M34" s="4">
        <v>2446</v>
      </c>
      <c r="N34" s="4">
        <v>130000</v>
      </c>
      <c r="O34" s="4">
        <v>2100000</v>
      </c>
      <c r="P34" s="4">
        <v>132446</v>
      </c>
      <c r="Q34" s="4"/>
      <c r="R34" s="4"/>
      <c r="S34" s="4">
        <v>0</v>
      </c>
      <c r="T34" s="4">
        <v>130000</v>
      </c>
      <c r="U34" s="4">
        <v>0</v>
      </c>
      <c r="V34" s="4">
        <v>0</v>
      </c>
      <c r="W34" s="4"/>
      <c r="X34" s="4"/>
      <c r="Y34" s="4"/>
      <c r="Z34" s="4"/>
      <c r="AA34" s="3"/>
      <c r="AB34" s="3" t="s">
        <v>260</v>
      </c>
      <c r="AC34" s="3">
        <v>742000</v>
      </c>
      <c r="AD34" s="299"/>
      <c r="AE34" s="299"/>
      <c r="AF34" s="299"/>
      <c r="AG34" s="299"/>
      <c r="AH34" s="299"/>
      <c r="AI34" s="299"/>
      <c r="AJ34" s="299"/>
      <c r="AK34" s="27"/>
      <c r="AL34" s="27"/>
      <c r="AM34" s="27"/>
    </row>
    <row r="35" spans="1:39" s="6" customFormat="1" ht="45" customHeight="1">
      <c r="A35" s="3">
        <f t="shared" si="0"/>
        <v>31</v>
      </c>
      <c r="B35" s="3">
        <v>1744</v>
      </c>
      <c r="C35" s="3" t="s">
        <v>40</v>
      </c>
      <c r="D35" s="4">
        <v>13000000</v>
      </c>
      <c r="E35" s="4">
        <v>13000000</v>
      </c>
      <c r="F35" s="4">
        <v>0</v>
      </c>
      <c r="G35" s="4">
        <v>7200000</v>
      </c>
      <c r="H35" s="4">
        <v>6013581</v>
      </c>
      <c r="I35" s="4">
        <v>0</v>
      </c>
      <c r="J35" s="4">
        <v>134505</v>
      </c>
      <c r="K35" s="4">
        <v>134505</v>
      </c>
      <c r="L35" s="4">
        <v>6148086</v>
      </c>
      <c r="M35" s="4">
        <v>251914</v>
      </c>
      <c r="N35" s="4">
        <v>0</v>
      </c>
      <c r="O35" s="4">
        <v>6600000</v>
      </c>
      <c r="P35" s="4">
        <v>1051914</v>
      </c>
      <c r="Q35" s="4"/>
      <c r="R35" s="4"/>
      <c r="S35" s="4">
        <v>0</v>
      </c>
      <c r="T35" s="4">
        <v>800000</v>
      </c>
      <c r="U35" s="4">
        <v>-800000</v>
      </c>
      <c r="V35" s="4">
        <v>-800000</v>
      </c>
      <c r="W35" s="4"/>
      <c r="X35" s="4"/>
      <c r="Y35" s="4"/>
      <c r="Z35" s="4"/>
      <c r="AA35" s="3"/>
      <c r="AB35" s="3" t="s">
        <v>1182</v>
      </c>
      <c r="AC35" s="3">
        <v>742000</v>
      </c>
      <c r="AD35" s="299"/>
      <c r="AE35" s="299"/>
      <c r="AF35" s="299"/>
      <c r="AG35" s="299"/>
      <c r="AH35" s="299"/>
      <c r="AI35" s="299"/>
      <c r="AJ35" s="299"/>
      <c r="AK35" s="27"/>
      <c r="AL35" s="27"/>
      <c r="AM35" s="27"/>
    </row>
    <row r="36" spans="1:39" s="5" customFormat="1" ht="52.8" customHeight="1">
      <c r="A36" s="3">
        <f t="shared" si="0"/>
        <v>32</v>
      </c>
      <c r="B36" s="3">
        <v>1756</v>
      </c>
      <c r="C36" s="3" t="s">
        <v>494</v>
      </c>
      <c r="D36" s="4">
        <v>1700000</v>
      </c>
      <c r="E36" s="4">
        <v>1700000</v>
      </c>
      <c r="F36" s="4">
        <v>0</v>
      </c>
      <c r="G36" s="4">
        <v>1000000</v>
      </c>
      <c r="H36" s="4">
        <v>435813</v>
      </c>
      <c r="I36" s="4">
        <v>8658</v>
      </c>
      <c r="J36" s="4">
        <v>108293</v>
      </c>
      <c r="K36" s="4">
        <v>116951</v>
      </c>
      <c r="L36" s="4">
        <v>552764</v>
      </c>
      <c r="M36" s="4">
        <v>2236</v>
      </c>
      <c r="N36" s="4">
        <v>400000</v>
      </c>
      <c r="O36" s="4">
        <v>745000</v>
      </c>
      <c r="P36" s="4">
        <v>447236</v>
      </c>
      <c r="Q36" s="4"/>
      <c r="R36" s="4"/>
      <c r="S36" s="4">
        <v>0</v>
      </c>
      <c r="T36" s="4">
        <v>445000</v>
      </c>
      <c r="U36" s="4">
        <v>-45000</v>
      </c>
      <c r="V36" s="4">
        <v>-45000</v>
      </c>
      <c r="W36" s="4"/>
      <c r="X36" s="4"/>
      <c r="Y36" s="4"/>
      <c r="Z36" s="4"/>
      <c r="AA36" s="4"/>
      <c r="AB36" s="3" t="s">
        <v>1282</v>
      </c>
      <c r="AC36" s="3">
        <v>732000</v>
      </c>
      <c r="AD36" s="299"/>
      <c r="AE36" s="299"/>
      <c r="AF36" s="299"/>
      <c r="AG36" s="299"/>
      <c r="AH36" s="299"/>
      <c r="AI36" s="299"/>
      <c r="AJ36" s="299"/>
      <c r="AK36" s="27"/>
      <c r="AL36" s="27"/>
      <c r="AM36" s="27"/>
    </row>
    <row r="37" spans="1:39" s="5" customFormat="1" ht="45" customHeight="1">
      <c r="A37" s="3">
        <f t="shared" si="0"/>
        <v>33</v>
      </c>
      <c r="B37" s="3">
        <v>1799</v>
      </c>
      <c r="C37" s="3" t="s">
        <v>99</v>
      </c>
      <c r="D37" s="4">
        <v>350000</v>
      </c>
      <c r="E37" s="4">
        <v>1000000</v>
      </c>
      <c r="F37" s="4">
        <v>-650000</v>
      </c>
      <c r="G37" s="4">
        <v>350000</v>
      </c>
      <c r="H37" s="4">
        <v>183189</v>
      </c>
      <c r="I37" s="4">
        <v>0</v>
      </c>
      <c r="J37" s="4">
        <v>111618</v>
      </c>
      <c r="K37" s="4">
        <v>111618</v>
      </c>
      <c r="L37" s="4">
        <v>294807</v>
      </c>
      <c r="M37" s="4">
        <v>55193</v>
      </c>
      <c r="N37" s="4">
        <v>0</v>
      </c>
      <c r="O37" s="4">
        <v>0</v>
      </c>
      <c r="P37" s="4">
        <v>55193</v>
      </c>
      <c r="Q37" s="4"/>
      <c r="R37" s="4"/>
      <c r="S37" s="4">
        <v>0</v>
      </c>
      <c r="T37" s="4">
        <v>0</v>
      </c>
      <c r="U37" s="4">
        <v>0</v>
      </c>
      <c r="V37" s="4">
        <v>0</v>
      </c>
      <c r="W37" s="4"/>
      <c r="X37" s="4"/>
      <c r="Y37" s="4"/>
      <c r="Z37" s="4"/>
      <c r="AA37" s="3"/>
      <c r="AB37" s="3" t="s">
        <v>1183</v>
      </c>
      <c r="AC37" s="3">
        <v>732000</v>
      </c>
      <c r="AD37" s="299"/>
      <c r="AE37" s="299"/>
      <c r="AF37" s="299"/>
      <c r="AG37" s="299"/>
      <c r="AH37" s="299"/>
      <c r="AI37" s="299"/>
      <c r="AJ37" s="299"/>
      <c r="AK37" s="27"/>
      <c r="AL37" s="27"/>
      <c r="AM37" s="27"/>
    </row>
    <row r="38" spans="1:39" s="343" customFormat="1" ht="45" customHeight="1">
      <c r="A38" s="3">
        <f t="shared" si="0"/>
        <v>34</v>
      </c>
      <c r="B38" s="3">
        <v>1843</v>
      </c>
      <c r="C38" s="3" t="s">
        <v>103</v>
      </c>
      <c r="D38" s="4">
        <v>380000</v>
      </c>
      <c r="E38" s="4">
        <v>380000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380000</v>
      </c>
      <c r="P38" s="4">
        <v>0</v>
      </c>
      <c r="Q38" s="4"/>
      <c r="R38" s="4"/>
      <c r="S38" s="4">
        <v>0</v>
      </c>
      <c r="T38" s="4">
        <v>0</v>
      </c>
      <c r="U38" s="4">
        <v>0</v>
      </c>
      <c r="V38" s="4">
        <v>0</v>
      </c>
      <c r="W38" s="4"/>
      <c r="X38" s="4"/>
      <c r="Y38" s="4"/>
      <c r="Z38" s="4"/>
      <c r="AA38" s="3"/>
      <c r="AB38" s="3" t="s">
        <v>687</v>
      </c>
      <c r="AC38" s="3">
        <v>732000</v>
      </c>
      <c r="AD38" s="299"/>
      <c r="AE38" s="299"/>
      <c r="AF38" s="299"/>
      <c r="AG38" s="299"/>
      <c r="AH38" s="299"/>
      <c r="AI38" s="299"/>
      <c r="AJ38" s="299"/>
      <c r="AK38" s="27"/>
      <c r="AL38" s="27"/>
      <c r="AM38" s="27"/>
    </row>
    <row r="39" spans="1:39" s="6" customFormat="1" ht="55.2">
      <c r="A39" s="3">
        <f t="shared" si="0"/>
        <v>35</v>
      </c>
      <c r="B39" s="3">
        <v>1937</v>
      </c>
      <c r="C39" s="3" t="s">
        <v>347</v>
      </c>
      <c r="D39" s="4">
        <v>1050000</v>
      </c>
      <c r="E39" s="4">
        <v>1050000</v>
      </c>
      <c r="F39" s="4">
        <v>0</v>
      </c>
      <c r="G39" s="4">
        <v>650000</v>
      </c>
      <c r="H39" s="4">
        <v>64235</v>
      </c>
      <c r="I39" s="4">
        <v>244936</v>
      </c>
      <c r="J39" s="4">
        <v>149018</v>
      </c>
      <c r="K39" s="4">
        <v>393954</v>
      </c>
      <c r="L39" s="4">
        <v>458189</v>
      </c>
      <c r="M39" s="4">
        <v>1811</v>
      </c>
      <c r="N39" s="4">
        <v>500000</v>
      </c>
      <c r="O39" s="4">
        <v>90000</v>
      </c>
      <c r="P39" s="4">
        <v>191811</v>
      </c>
      <c r="Q39" s="4"/>
      <c r="R39" s="4"/>
      <c r="S39" s="4">
        <v>0</v>
      </c>
      <c r="T39" s="4">
        <v>190000</v>
      </c>
      <c r="U39" s="4">
        <v>310000</v>
      </c>
      <c r="V39" s="4">
        <v>310000</v>
      </c>
      <c r="W39" s="4"/>
      <c r="X39" s="4"/>
      <c r="Y39" s="4"/>
      <c r="Z39" s="4"/>
      <c r="AA39" s="3"/>
      <c r="AB39" s="3" t="s">
        <v>612</v>
      </c>
      <c r="AC39" s="3">
        <v>732000</v>
      </c>
      <c r="AD39" s="299"/>
      <c r="AE39" s="299"/>
      <c r="AF39" s="299"/>
      <c r="AG39" s="299"/>
      <c r="AH39" s="299"/>
      <c r="AI39" s="299"/>
      <c r="AJ39" s="299"/>
      <c r="AK39" s="27"/>
      <c r="AL39" s="27"/>
      <c r="AM39" s="27"/>
    </row>
    <row r="40" spans="1:39" s="6" customFormat="1" ht="50.4" customHeight="1">
      <c r="A40" s="3">
        <f t="shared" si="0"/>
        <v>36</v>
      </c>
      <c r="B40" s="28">
        <v>2105</v>
      </c>
      <c r="C40" s="3" t="s">
        <v>343</v>
      </c>
      <c r="D40" s="4">
        <v>60000000</v>
      </c>
      <c r="E40" s="4">
        <v>60000000</v>
      </c>
      <c r="F40" s="4">
        <v>0</v>
      </c>
      <c r="G40" s="4">
        <v>400000</v>
      </c>
      <c r="H40" s="4">
        <v>39468</v>
      </c>
      <c r="I40" s="4">
        <v>0</v>
      </c>
      <c r="J40" s="4">
        <v>120322</v>
      </c>
      <c r="K40" s="4">
        <v>120322</v>
      </c>
      <c r="L40" s="4">
        <v>159790</v>
      </c>
      <c r="M40" s="4">
        <v>100210</v>
      </c>
      <c r="N40" s="4">
        <v>500000</v>
      </c>
      <c r="O40" s="4">
        <v>59240000</v>
      </c>
      <c r="P40" s="4">
        <v>240210</v>
      </c>
      <c r="Q40" s="4"/>
      <c r="R40" s="4"/>
      <c r="S40" s="4">
        <v>0</v>
      </c>
      <c r="T40" s="4">
        <v>140000</v>
      </c>
      <c r="U40" s="4">
        <v>360000</v>
      </c>
      <c r="V40" s="4">
        <v>360000</v>
      </c>
      <c r="W40" s="4"/>
      <c r="X40" s="4"/>
      <c r="Y40" s="4"/>
      <c r="Z40" s="4"/>
      <c r="AA40" s="3"/>
      <c r="AB40" s="3" t="s">
        <v>1283</v>
      </c>
      <c r="AC40" s="3">
        <v>742000</v>
      </c>
      <c r="AD40" s="299"/>
      <c r="AE40" s="299"/>
      <c r="AF40" s="299"/>
      <c r="AG40" s="299"/>
      <c r="AH40" s="299"/>
      <c r="AI40" s="299"/>
      <c r="AJ40" s="299"/>
      <c r="AK40" s="27"/>
      <c r="AL40" s="27"/>
      <c r="AM40" s="27"/>
    </row>
    <row r="41" spans="1:39" s="5" customFormat="1" ht="45" customHeight="1">
      <c r="A41" s="3">
        <f t="shared" si="0"/>
        <v>37</v>
      </c>
      <c r="B41" s="3">
        <v>2112</v>
      </c>
      <c r="C41" s="3" t="s">
        <v>394</v>
      </c>
      <c r="D41" s="4">
        <v>7650000</v>
      </c>
      <c r="E41" s="4">
        <v>7650000</v>
      </c>
      <c r="F41" s="4">
        <v>0</v>
      </c>
      <c r="G41" s="4">
        <v>1660000</v>
      </c>
      <c r="H41" s="4">
        <v>139418</v>
      </c>
      <c r="I41" s="4">
        <v>0</v>
      </c>
      <c r="J41" s="4">
        <v>481468</v>
      </c>
      <c r="K41" s="4">
        <v>481468</v>
      </c>
      <c r="L41" s="4">
        <v>620886</v>
      </c>
      <c r="M41" s="4">
        <v>39114</v>
      </c>
      <c r="N41" s="4">
        <v>1000000</v>
      </c>
      <c r="O41" s="4">
        <v>5990000</v>
      </c>
      <c r="P41" s="4">
        <v>1039114</v>
      </c>
      <c r="Q41" s="4"/>
      <c r="R41" s="4"/>
      <c r="S41" s="4">
        <v>0</v>
      </c>
      <c r="T41" s="4">
        <v>1000000</v>
      </c>
      <c r="U41" s="4">
        <v>0</v>
      </c>
      <c r="V41" s="4">
        <v>0</v>
      </c>
      <c r="W41" s="4"/>
      <c r="X41" s="4"/>
      <c r="Y41" s="4"/>
      <c r="Z41" s="4"/>
      <c r="AA41" s="3"/>
      <c r="AB41" s="232" t="s">
        <v>613</v>
      </c>
      <c r="AC41" s="3">
        <v>732000</v>
      </c>
      <c r="AD41" s="299"/>
      <c r="AE41" s="299"/>
      <c r="AF41" s="299"/>
      <c r="AG41" s="299"/>
      <c r="AH41" s="299"/>
      <c r="AI41" s="299"/>
      <c r="AJ41" s="299"/>
      <c r="AK41" s="27"/>
      <c r="AL41" s="27"/>
      <c r="AM41" s="27"/>
    </row>
    <row r="42" spans="1:39" s="6" customFormat="1" ht="45" customHeight="1">
      <c r="A42" s="3">
        <f t="shared" si="0"/>
        <v>38</v>
      </c>
      <c r="B42" s="3">
        <v>2113</v>
      </c>
      <c r="C42" s="3" t="s">
        <v>266</v>
      </c>
      <c r="D42" s="4">
        <v>2550000</v>
      </c>
      <c r="E42" s="4">
        <v>2550000</v>
      </c>
      <c r="F42" s="4">
        <v>0</v>
      </c>
      <c r="G42" s="4">
        <v>200000</v>
      </c>
      <c r="H42" s="4">
        <v>17784</v>
      </c>
      <c r="I42" s="4">
        <v>0</v>
      </c>
      <c r="J42" s="4">
        <v>105889</v>
      </c>
      <c r="K42" s="4">
        <v>105889</v>
      </c>
      <c r="L42" s="4">
        <v>123673</v>
      </c>
      <c r="M42" s="4">
        <v>51327</v>
      </c>
      <c r="N42" s="4">
        <v>220000</v>
      </c>
      <c r="O42" s="4">
        <v>2155000</v>
      </c>
      <c r="P42" s="4">
        <v>76327</v>
      </c>
      <c r="Q42" s="4"/>
      <c r="R42" s="4"/>
      <c r="S42" s="4">
        <v>0</v>
      </c>
      <c r="T42" s="4">
        <v>25000</v>
      </c>
      <c r="U42" s="4">
        <v>195000</v>
      </c>
      <c r="V42" s="4">
        <v>195000</v>
      </c>
      <c r="W42" s="4"/>
      <c r="X42" s="4"/>
      <c r="Y42" s="4"/>
      <c r="Z42" s="4"/>
      <c r="AA42" s="3"/>
      <c r="AB42" s="232" t="s">
        <v>614</v>
      </c>
      <c r="AC42" s="3">
        <v>732000</v>
      </c>
      <c r="AD42" s="299"/>
      <c r="AE42" s="299"/>
      <c r="AF42" s="299"/>
      <c r="AG42" s="299"/>
      <c r="AH42" s="299"/>
      <c r="AI42" s="299"/>
      <c r="AJ42" s="299"/>
      <c r="AK42" s="27"/>
      <c r="AL42" s="27"/>
      <c r="AM42" s="27"/>
    </row>
    <row r="43" spans="1:39" s="6" customFormat="1" ht="55.2">
      <c r="A43" s="3">
        <f t="shared" si="0"/>
        <v>39</v>
      </c>
      <c r="B43" s="3">
        <v>2114</v>
      </c>
      <c r="C43" s="3" t="s">
        <v>326</v>
      </c>
      <c r="D43" s="4">
        <v>1450000</v>
      </c>
      <c r="E43" s="4">
        <v>1450000</v>
      </c>
      <c r="F43" s="4">
        <v>0</v>
      </c>
      <c r="G43" s="4">
        <v>350000</v>
      </c>
      <c r="H43" s="4">
        <v>17428</v>
      </c>
      <c r="I43" s="4">
        <v>0</v>
      </c>
      <c r="J43" s="4">
        <v>65876</v>
      </c>
      <c r="K43" s="4">
        <v>65876</v>
      </c>
      <c r="L43" s="4">
        <v>83304</v>
      </c>
      <c r="M43" s="4">
        <v>696</v>
      </c>
      <c r="N43" s="4">
        <v>0</v>
      </c>
      <c r="O43" s="4">
        <v>1366000</v>
      </c>
      <c r="P43" s="4">
        <v>266696</v>
      </c>
      <c r="Q43" s="4"/>
      <c r="R43" s="4"/>
      <c r="S43" s="4">
        <v>0</v>
      </c>
      <c r="T43" s="4">
        <v>266000</v>
      </c>
      <c r="U43" s="4">
        <v>-266000</v>
      </c>
      <c r="V43" s="4">
        <v>-266000</v>
      </c>
      <c r="W43" s="4"/>
      <c r="X43" s="4"/>
      <c r="Y43" s="4"/>
      <c r="Z43" s="4"/>
      <c r="AA43" s="3"/>
      <c r="AB43" s="3" t="s">
        <v>579</v>
      </c>
      <c r="AC43" s="3">
        <v>732000</v>
      </c>
      <c r="AD43" s="299"/>
      <c r="AE43" s="299"/>
      <c r="AF43" s="299"/>
      <c r="AG43" s="299"/>
      <c r="AH43" s="299"/>
      <c r="AI43" s="299"/>
      <c r="AJ43" s="299"/>
      <c r="AK43" s="27"/>
      <c r="AL43" s="27"/>
      <c r="AM43" s="27"/>
    </row>
    <row r="44" spans="1:39" s="6" customFormat="1" ht="45" customHeight="1">
      <c r="A44" s="3">
        <f t="shared" si="0"/>
        <v>40</v>
      </c>
      <c r="B44" s="3">
        <v>2117</v>
      </c>
      <c r="C44" s="3" t="s">
        <v>558</v>
      </c>
      <c r="D44" s="4">
        <v>750000</v>
      </c>
      <c r="E44" s="4">
        <v>750000</v>
      </c>
      <c r="F44" s="4">
        <v>0</v>
      </c>
      <c r="G44" s="4">
        <v>350000</v>
      </c>
      <c r="H44" s="4">
        <v>29203</v>
      </c>
      <c r="I44" s="4">
        <v>0</v>
      </c>
      <c r="J44" s="4">
        <v>183335</v>
      </c>
      <c r="K44" s="4">
        <v>183335</v>
      </c>
      <c r="L44" s="4">
        <v>212538</v>
      </c>
      <c r="M44" s="4">
        <v>2462</v>
      </c>
      <c r="N44" s="4">
        <v>150000</v>
      </c>
      <c r="O44" s="4">
        <v>385000</v>
      </c>
      <c r="P44" s="4">
        <v>137462</v>
      </c>
      <c r="Q44" s="4"/>
      <c r="R44" s="4"/>
      <c r="S44" s="4">
        <v>0</v>
      </c>
      <c r="T44" s="4">
        <v>135000</v>
      </c>
      <c r="U44" s="4">
        <v>15000</v>
      </c>
      <c r="V44" s="4">
        <v>15000</v>
      </c>
      <c r="W44" s="8"/>
      <c r="X44" s="8"/>
      <c r="Y44" s="8"/>
      <c r="Z44" s="8"/>
      <c r="AA44" s="8"/>
      <c r="AB44" s="3" t="s">
        <v>559</v>
      </c>
      <c r="AC44" s="3">
        <v>732000</v>
      </c>
      <c r="AD44" s="299"/>
      <c r="AE44" s="299"/>
      <c r="AF44" s="299"/>
      <c r="AG44" s="299"/>
      <c r="AH44" s="299"/>
      <c r="AI44" s="299"/>
      <c r="AJ44" s="299"/>
      <c r="AK44" s="27"/>
      <c r="AL44" s="27"/>
      <c r="AM44" s="27"/>
    </row>
    <row r="45" spans="1:39" s="5" customFormat="1" ht="45" customHeight="1">
      <c r="A45" s="3">
        <f t="shared" si="0"/>
        <v>41</v>
      </c>
      <c r="B45" s="28">
        <v>2121</v>
      </c>
      <c r="C45" s="3" t="s">
        <v>344</v>
      </c>
      <c r="D45" s="4">
        <v>1290000</v>
      </c>
      <c r="E45" s="4">
        <v>300000</v>
      </c>
      <c r="F45" s="4">
        <v>990000</v>
      </c>
      <c r="G45" s="4">
        <v>300000</v>
      </c>
      <c r="H45" s="4">
        <v>143515</v>
      </c>
      <c r="I45" s="4">
        <v>0</v>
      </c>
      <c r="J45" s="4">
        <v>38578</v>
      </c>
      <c r="K45" s="4">
        <v>38578</v>
      </c>
      <c r="L45" s="4">
        <v>182093</v>
      </c>
      <c r="M45" s="4">
        <v>7907</v>
      </c>
      <c r="N45" s="4">
        <v>110000</v>
      </c>
      <c r="O45" s="4">
        <v>990000</v>
      </c>
      <c r="P45" s="4">
        <v>117907</v>
      </c>
      <c r="Q45" s="4"/>
      <c r="R45" s="4"/>
      <c r="S45" s="4">
        <v>0</v>
      </c>
      <c r="T45" s="4">
        <v>110000</v>
      </c>
      <c r="U45" s="4">
        <v>0</v>
      </c>
      <c r="V45" s="4">
        <v>0</v>
      </c>
      <c r="W45" s="4"/>
      <c r="X45" s="4"/>
      <c r="Y45" s="4"/>
      <c r="Z45" s="4"/>
      <c r="AA45" s="4">
        <v>0</v>
      </c>
      <c r="AB45" s="3" t="s">
        <v>1184</v>
      </c>
      <c r="AC45" s="3">
        <v>742000</v>
      </c>
      <c r="AD45" s="299"/>
      <c r="AE45" s="299"/>
      <c r="AF45" s="299"/>
      <c r="AG45" s="299"/>
      <c r="AH45" s="299"/>
      <c r="AI45" s="299"/>
      <c r="AJ45" s="299"/>
      <c r="AK45" s="27"/>
      <c r="AL45" s="27"/>
      <c r="AM45" s="27"/>
    </row>
    <row r="46" spans="1:39" s="5" customFormat="1" ht="45" customHeight="1">
      <c r="A46" s="3">
        <f t="shared" si="0"/>
        <v>42</v>
      </c>
      <c r="B46" s="28">
        <v>2122</v>
      </c>
      <c r="C46" s="3" t="s">
        <v>391</v>
      </c>
      <c r="D46" s="4">
        <v>100000</v>
      </c>
      <c r="E46" s="4">
        <v>100000</v>
      </c>
      <c r="F46" s="4">
        <v>0</v>
      </c>
      <c r="G46" s="4">
        <v>100000</v>
      </c>
      <c r="H46" s="4">
        <v>53191</v>
      </c>
      <c r="I46" s="4">
        <v>0</v>
      </c>
      <c r="J46" s="4">
        <v>2729</v>
      </c>
      <c r="K46" s="4">
        <v>2729</v>
      </c>
      <c r="L46" s="4">
        <v>55920</v>
      </c>
      <c r="M46" s="4">
        <v>44080</v>
      </c>
      <c r="N46" s="60">
        <v>0</v>
      </c>
      <c r="O46" s="4">
        <v>0</v>
      </c>
      <c r="P46" s="4">
        <v>44080</v>
      </c>
      <c r="Q46" s="4"/>
      <c r="R46" s="4"/>
      <c r="S46" s="4">
        <v>0</v>
      </c>
      <c r="T46" s="4">
        <v>0</v>
      </c>
      <c r="U46" s="4">
        <v>0</v>
      </c>
      <c r="V46" s="4">
        <v>0</v>
      </c>
      <c r="W46" s="4"/>
      <c r="X46" s="4"/>
      <c r="Y46" s="4"/>
      <c r="Z46" s="4"/>
      <c r="AA46" s="4"/>
      <c r="AB46" s="3" t="s">
        <v>560</v>
      </c>
      <c r="AC46" s="3">
        <v>742000</v>
      </c>
      <c r="AD46" s="299"/>
      <c r="AE46" s="299"/>
      <c r="AF46" s="299"/>
      <c r="AG46" s="299"/>
      <c r="AH46" s="299"/>
      <c r="AI46" s="299"/>
      <c r="AJ46" s="299"/>
      <c r="AK46" s="27"/>
      <c r="AL46" s="27"/>
      <c r="AM46" s="27"/>
    </row>
    <row r="47" spans="1:39" s="5" customFormat="1" ht="45" customHeight="1">
      <c r="A47" s="3">
        <f t="shared" si="0"/>
        <v>43</v>
      </c>
      <c r="B47" s="28">
        <v>2123</v>
      </c>
      <c r="C47" s="3" t="s">
        <v>392</v>
      </c>
      <c r="D47" s="4">
        <v>250000</v>
      </c>
      <c r="E47" s="4">
        <v>250000</v>
      </c>
      <c r="F47" s="4">
        <v>0</v>
      </c>
      <c r="G47" s="4">
        <v>250000</v>
      </c>
      <c r="H47" s="4">
        <v>118948</v>
      </c>
      <c r="I47" s="4">
        <v>0</v>
      </c>
      <c r="J47" s="4"/>
      <c r="K47" s="4">
        <v>0</v>
      </c>
      <c r="L47" s="4">
        <v>118948</v>
      </c>
      <c r="M47" s="4">
        <v>131052</v>
      </c>
      <c r="N47" s="60"/>
      <c r="O47" s="4">
        <v>0</v>
      </c>
      <c r="P47" s="4">
        <v>131052</v>
      </c>
      <c r="Q47" s="4"/>
      <c r="R47" s="4"/>
      <c r="S47" s="4">
        <v>0</v>
      </c>
      <c r="T47" s="4">
        <v>0</v>
      </c>
      <c r="U47" s="60"/>
      <c r="V47" s="4">
        <v>0</v>
      </c>
      <c r="W47" s="4"/>
      <c r="X47" s="4"/>
      <c r="Y47" s="4"/>
      <c r="Z47" s="4"/>
      <c r="AA47" s="4"/>
      <c r="AB47" s="3" t="s">
        <v>349</v>
      </c>
      <c r="AC47" s="3">
        <v>742000</v>
      </c>
      <c r="AD47" s="299"/>
      <c r="AE47" s="299"/>
      <c r="AF47" s="299"/>
      <c r="AG47" s="299"/>
      <c r="AH47" s="299"/>
      <c r="AI47" s="299"/>
      <c r="AJ47" s="299"/>
      <c r="AK47" s="27"/>
      <c r="AL47" s="27"/>
      <c r="AM47" s="27"/>
    </row>
    <row r="48" spans="1:39" s="5" customFormat="1" ht="45" customHeight="1">
      <c r="A48" s="3">
        <f t="shared" si="0"/>
        <v>44</v>
      </c>
      <c r="B48" s="3">
        <v>2142</v>
      </c>
      <c r="C48" s="3" t="s">
        <v>448</v>
      </c>
      <c r="D48" s="4">
        <v>2400000</v>
      </c>
      <c r="E48" s="4">
        <v>2900000</v>
      </c>
      <c r="F48" s="4">
        <v>-500000</v>
      </c>
      <c r="G48" s="4">
        <v>2900000</v>
      </c>
      <c r="H48" s="4">
        <v>1312648</v>
      </c>
      <c r="I48" s="4">
        <v>0</v>
      </c>
      <c r="J48" s="4">
        <v>685818</v>
      </c>
      <c r="K48" s="4">
        <v>685818</v>
      </c>
      <c r="L48" s="4">
        <v>1998466</v>
      </c>
      <c r="M48" s="4">
        <v>401534</v>
      </c>
      <c r="N48" s="4"/>
      <c r="O48" s="4">
        <v>0</v>
      </c>
      <c r="P48" s="4">
        <v>901534</v>
      </c>
      <c r="Q48" s="4"/>
      <c r="R48" s="4"/>
      <c r="S48" s="4">
        <v>0</v>
      </c>
      <c r="T48" s="4">
        <v>500000</v>
      </c>
      <c r="U48" s="4">
        <v>-500000</v>
      </c>
      <c r="V48" s="4">
        <v>-500000</v>
      </c>
      <c r="W48" s="4"/>
      <c r="X48" s="4"/>
      <c r="Y48" s="4"/>
      <c r="Z48" s="4"/>
      <c r="AA48" s="4"/>
      <c r="AB48" s="3" t="s">
        <v>1185</v>
      </c>
      <c r="AC48" s="3">
        <v>742000</v>
      </c>
      <c r="AD48" s="299"/>
      <c r="AE48" s="299"/>
      <c r="AF48" s="299"/>
      <c r="AG48" s="299"/>
      <c r="AH48" s="299"/>
      <c r="AI48" s="299"/>
      <c r="AJ48" s="299"/>
      <c r="AK48" s="27"/>
      <c r="AL48" s="27"/>
      <c r="AM48" s="27"/>
    </row>
    <row r="49" spans="1:39" s="5" customFormat="1" ht="45" customHeight="1">
      <c r="A49" s="3">
        <f t="shared" si="0"/>
        <v>45</v>
      </c>
      <c r="B49" s="28">
        <v>2143</v>
      </c>
      <c r="C49" s="3" t="s">
        <v>450</v>
      </c>
      <c r="D49" s="4">
        <v>850000</v>
      </c>
      <c r="E49" s="4">
        <v>850000</v>
      </c>
      <c r="F49" s="4">
        <v>0</v>
      </c>
      <c r="G49" s="4">
        <v>300000</v>
      </c>
      <c r="H49" s="4">
        <v>0</v>
      </c>
      <c r="I49" s="4">
        <v>0</v>
      </c>
      <c r="J49" s="4">
        <v>289835</v>
      </c>
      <c r="K49" s="4">
        <v>289835</v>
      </c>
      <c r="L49" s="4">
        <v>289835</v>
      </c>
      <c r="M49" s="4">
        <v>10165</v>
      </c>
      <c r="N49" s="4">
        <v>350000</v>
      </c>
      <c r="O49" s="4">
        <v>200000</v>
      </c>
      <c r="P49" s="4">
        <v>10165</v>
      </c>
      <c r="Q49" s="4"/>
      <c r="R49" s="4"/>
      <c r="S49" s="4">
        <v>0</v>
      </c>
      <c r="T49" s="4">
        <v>0</v>
      </c>
      <c r="U49" s="4">
        <v>350000</v>
      </c>
      <c r="V49" s="4">
        <v>350000</v>
      </c>
      <c r="W49" s="4"/>
      <c r="X49" s="4"/>
      <c r="Y49" s="4"/>
      <c r="Z49" s="4"/>
      <c r="AA49" s="4"/>
      <c r="AB49" s="3" t="s">
        <v>1389</v>
      </c>
      <c r="AC49" s="3">
        <v>732000</v>
      </c>
      <c r="AD49" s="299"/>
      <c r="AE49" s="299"/>
      <c r="AF49" s="299"/>
      <c r="AG49" s="299"/>
      <c r="AH49" s="299"/>
      <c r="AI49" s="299"/>
      <c r="AJ49" s="299"/>
      <c r="AK49" s="27"/>
      <c r="AL49" s="27"/>
      <c r="AM49" s="27"/>
    </row>
    <row r="50" spans="1:39" s="5" customFormat="1" ht="45" customHeight="1">
      <c r="A50" s="3">
        <f t="shared" si="0"/>
        <v>46</v>
      </c>
      <c r="B50" s="28">
        <v>2144</v>
      </c>
      <c r="C50" s="3" t="s">
        <v>453</v>
      </c>
      <c r="D50" s="4">
        <v>500000</v>
      </c>
      <c r="E50" s="4">
        <v>500000</v>
      </c>
      <c r="F50" s="4">
        <v>0</v>
      </c>
      <c r="G50" s="4">
        <v>300000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200000</v>
      </c>
      <c r="O50" s="4">
        <v>300000</v>
      </c>
      <c r="P50" s="4">
        <v>300000</v>
      </c>
      <c r="Q50" s="4"/>
      <c r="R50" s="4"/>
      <c r="S50" s="4">
        <v>0</v>
      </c>
      <c r="T50" s="4">
        <v>300000</v>
      </c>
      <c r="U50" s="4">
        <v>-100000</v>
      </c>
      <c r="V50" s="4">
        <v>-100000</v>
      </c>
      <c r="W50" s="4"/>
      <c r="X50" s="4"/>
      <c r="Y50" s="4"/>
      <c r="Z50" s="4"/>
      <c r="AA50" s="4"/>
      <c r="AB50" s="3" t="s">
        <v>473</v>
      </c>
      <c r="AC50" s="3">
        <v>732000</v>
      </c>
      <c r="AD50" s="299"/>
      <c r="AE50" s="299"/>
      <c r="AF50" s="299"/>
      <c r="AG50" s="299"/>
      <c r="AH50" s="299"/>
      <c r="AI50" s="299"/>
      <c r="AJ50" s="299"/>
      <c r="AK50" s="27"/>
      <c r="AL50" s="27"/>
      <c r="AM50" s="27"/>
    </row>
    <row r="51" spans="1:39" s="5" customFormat="1" ht="45" customHeight="1">
      <c r="A51" s="3">
        <f t="shared" si="0"/>
        <v>47</v>
      </c>
      <c r="B51" s="3">
        <v>2146</v>
      </c>
      <c r="C51" s="3" t="s">
        <v>456</v>
      </c>
      <c r="D51" s="4">
        <v>61000</v>
      </c>
      <c r="E51" s="4">
        <v>220000</v>
      </c>
      <c r="F51" s="4">
        <v>-159000</v>
      </c>
      <c r="G51" s="4">
        <v>130000</v>
      </c>
      <c r="H51" s="4">
        <v>45227</v>
      </c>
      <c r="I51" s="4">
        <v>0</v>
      </c>
      <c r="J51" s="4">
        <v>14939</v>
      </c>
      <c r="K51" s="4">
        <v>14939</v>
      </c>
      <c r="L51" s="4">
        <v>60166</v>
      </c>
      <c r="M51" s="4">
        <v>834</v>
      </c>
      <c r="N51" s="4"/>
      <c r="O51" s="4">
        <v>0</v>
      </c>
      <c r="P51" s="4">
        <v>69834</v>
      </c>
      <c r="Q51" s="4"/>
      <c r="R51" s="4"/>
      <c r="S51" s="4">
        <v>0</v>
      </c>
      <c r="T51" s="4">
        <v>69000</v>
      </c>
      <c r="U51" s="4">
        <v>-69000</v>
      </c>
      <c r="V51" s="4">
        <v>-69000</v>
      </c>
      <c r="W51" s="4"/>
      <c r="X51" s="4"/>
      <c r="Y51" s="4"/>
      <c r="Z51" s="4"/>
      <c r="AA51" s="4"/>
      <c r="AB51" s="3" t="s">
        <v>1186</v>
      </c>
      <c r="AC51" s="3">
        <v>732000</v>
      </c>
      <c r="AD51" s="299"/>
      <c r="AE51" s="299"/>
      <c r="AF51" s="299"/>
      <c r="AG51" s="299"/>
      <c r="AH51" s="299"/>
      <c r="AI51" s="299"/>
      <c r="AJ51" s="299"/>
      <c r="AK51" s="27"/>
      <c r="AL51" s="27"/>
      <c r="AM51" s="27"/>
    </row>
    <row r="52" spans="1:39" s="5" customFormat="1" ht="45" customHeight="1">
      <c r="A52" s="3">
        <f t="shared" si="0"/>
        <v>48</v>
      </c>
      <c r="B52" s="28">
        <v>2190</v>
      </c>
      <c r="C52" s="3" t="s">
        <v>562</v>
      </c>
      <c r="D52" s="4">
        <v>250000</v>
      </c>
      <c r="E52" s="4">
        <v>250000</v>
      </c>
      <c r="F52" s="4">
        <v>0</v>
      </c>
      <c r="G52" s="4">
        <v>250000</v>
      </c>
      <c r="H52" s="4">
        <v>27852</v>
      </c>
      <c r="I52" s="4">
        <v>0</v>
      </c>
      <c r="J52" s="4">
        <v>0</v>
      </c>
      <c r="K52" s="4">
        <v>0</v>
      </c>
      <c r="L52" s="4">
        <v>27852</v>
      </c>
      <c r="M52" s="4">
        <v>222148</v>
      </c>
      <c r="N52" s="4"/>
      <c r="O52" s="4">
        <v>0</v>
      </c>
      <c r="P52" s="4">
        <v>222148</v>
      </c>
      <c r="Q52" s="4"/>
      <c r="R52" s="4"/>
      <c r="S52" s="4">
        <v>0</v>
      </c>
      <c r="T52" s="4">
        <v>0</v>
      </c>
      <c r="U52" s="4">
        <v>0</v>
      </c>
      <c r="V52" s="4">
        <v>0</v>
      </c>
      <c r="W52" s="4"/>
      <c r="X52" s="4"/>
      <c r="Y52" s="4"/>
      <c r="Z52" s="4"/>
      <c r="AA52" s="4"/>
      <c r="AB52" s="3" t="s">
        <v>563</v>
      </c>
      <c r="AC52" s="3">
        <v>742000</v>
      </c>
      <c r="AD52" s="299"/>
      <c r="AE52" s="299"/>
      <c r="AF52" s="299"/>
      <c r="AG52" s="299"/>
      <c r="AH52" s="299"/>
      <c r="AI52" s="299"/>
      <c r="AJ52" s="299"/>
      <c r="AK52" s="27"/>
      <c r="AL52" s="27"/>
      <c r="AM52" s="27"/>
    </row>
    <row r="53" spans="1:39" s="5" customFormat="1" ht="45" customHeight="1">
      <c r="A53" s="3">
        <f t="shared" si="0"/>
        <v>49</v>
      </c>
      <c r="B53" s="28">
        <v>2192</v>
      </c>
      <c r="C53" s="3" t="s">
        <v>565</v>
      </c>
      <c r="D53" s="4">
        <v>20400000</v>
      </c>
      <c r="E53" s="4">
        <v>20400000</v>
      </c>
      <c r="F53" s="4">
        <v>0</v>
      </c>
      <c r="G53" s="4">
        <v>100000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100000</v>
      </c>
      <c r="O53" s="4">
        <v>20300000</v>
      </c>
      <c r="P53" s="4">
        <v>100000</v>
      </c>
      <c r="Q53" s="4"/>
      <c r="R53" s="4"/>
      <c r="S53" s="4">
        <v>0</v>
      </c>
      <c r="T53" s="4">
        <v>100000</v>
      </c>
      <c r="U53" s="4">
        <v>0</v>
      </c>
      <c r="V53" s="4">
        <v>0</v>
      </c>
      <c r="W53" s="4"/>
      <c r="X53" s="4"/>
      <c r="Y53" s="4"/>
      <c r="Z53" s="4"/>
      <c r="AA53" s="4"/>
      <c r="AB53" s="3" t="s">
        <v>580</v>
      </c>
      <c r="AC53" s="3">
        <v>742000</v>
      </c>
      <c r="AD53" s="299"/>
      <c r="AE53" s="299"/>
      <c r="AF53" s="299"/>
      <c r="AG53" s="299"/>
      <c r="AH53" s="299"/>
      <c r="AI53" s="299"/>
      <c r="AJ53" s="299"/>
      <c r="AK53" s="27"/>
      <c r="AL53" s="27"/>
      <c r="AM53" s="27"/>
    </row>
    <row r="54" spans="1:39" s="5" customFormat="1" ht="45" customHeight="1">
      <c r="A54" s="3">
        <f t="shared" si="0"/>
        <v>50</v>
      </c>
      <c r="B54" s="28">
        <v>2193</v>
      </c>
      <c r="C54" s="3" t="s">
        <v>566</v>
      </c>
      <c r="D54" s="4">
        <v>500000</v>
      </c>
      <c r="E54" s="4">
        <v>500000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200000</v>
      </c>
      <c r="O54" s="4">
        <v>300000</v>
      </c>
      <c r="P54" s="4">
        <v>0</v>
      </c>
      <c r="Q54" s="4"/>
      <c r="R54" s="4"/>
      <c r="S54" s="4">
        <v>0</v>
      </c>
      <c r="T54" s="4">
        <v>0</v>
      </c>
      <c r="U54" s="4">
        <v>200000</v>
      </c>
      <c r="V54" s="4">
        <v>200000</v>
      </c>
      <c r="W54" s="4"/>
      <c r="X54" s="4"/>
      <c r="Y54" s="4"/>
      <c r="Z54" s="4"/>
      <c r="AA54" s="4"/>
      <c r="AB54" s="3" t="s">
        <v>616</v>
      </c>
      <c r="AC54" s="3">
        <v>742000</v>
      </c>
      <c r="AD54" s="299"/>
      <c r="AE54" s="299"/>
      <c r="AF54" s="299"/>
      <c r="AG54" s="299"/>
      <c r="AH54" s="299"/>
      <c r="AI54" s="299"/>
      <c r="AJ54" s="299"/>
      <c r="AK54" s="27"/>
      <c r="AL54" s="27"/>
      <c r="AM54" s="27"/>
    </row>
    <row r="55" spans="1:39" s="5" customFormat="1" ht="45" customHeight="1">
      <c r="A55" s="3">
        <f t="shared" si="0"/>
        <v>51</v>
      </c>
      <c r="B55" s="28">
        <v>2195</v>
      </c>
      <c r="C55" s="3" t="s">
        <v>568</v>
      </c>
      <c r="D55" s="4">
        <v>2300000</v>
      </c>
      <c r="E55" s="4">
        <v>2300000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100000</v>
      </c>
      <c r="O55" s="4">
        <v>2200000</v>
      </c>
      <c r="P55" s="4">
        <v>0</v>
      </c>
      <c r="Q55" s="4"/>
      <c r="R55" s="4"/>
      <c r="S55" s="4">
        <v>0</v>
      </c>
      <c r="T55" s="4">
        <v>0</v>
      </c>
      <c r="U55" s="4">
        <v>100000</v>
      </c>
      <c r="V55" s="4">
        <v>100000</v>
      </c>
      <c r="W55" s="4"/>
      <c r="X55" s="4"/>
      <c r="Y55" s="4"/>
      <c r="Z55" s="4"/>
      <c r="AA55" s="4"/>
      <c r="AB55" s="3" t="s">
        <v>617</v>
      </c>
      <c r="AC55" s="3">
        <v>742000</v>
      </c>
      <c r="AD55" s="299"/>
      <c r="AE55" s="299"/>
      <c r="AF55" s="299"/>
      <c r="AG55" s="299"/>
      <c r="AH55" s="299"/>
      <c r="AI55" s="299"/>
      <c r="AJ55" s="299"/>
      <c r="AK55" s="27"/>
      <c r="AL55" s="27"/>
      <c r="AM55" s="27"/>
    </row>
    <row r="56" spans="1:39" s="5" customFormat="1" ht="45" customHeight="1">
      <c r="A56" s="3">
        <f t="shared" si="0"/>
        <v>52</v>
      </c>
      <c r="B56" s="28">
        <v>2199</v>
      </c>
      <c r="C56" s="3" t="s">
        <v>572</v>
      </c>
      <c r="D56" s="4">
        <v>1000000</v>
      </c>
      <c r="E56" s="4">
        <v>1000000</v>
      </c>
      <c r="F56" s="4">
        <v>0</v>
      </c>
      <c r="G56" s="4">
        <v>150000</v>
      </c>
      <c r="H56" s="4">
        <v>12168</v>
      </c>
      <c r="I56" s="4">
        <v>0</v>
      </c>
      <c r="J56" s="4">
        <v>0</v>
      </c>
      <c r="K56" s="4">
        <v>0</v>
      </c>
      <c r="L56" s="4">
        <v>12168</v>
      </c>
      <c r="M56" s="4">
        <v>2832</v>
      </c>
      <c r="N56" s="4">
        <v>135000</v>
      </c>
      <c r="O56" s="4">
        <v>850000</v>
      </c>
      <c r="P56" s="4">
        <v>137832</v>
      </c>
      <c r="Q56" s="4"/>
      <c r="R56" s="4"/>
      <c r="S56" s="4">
        <v>0</v>
      </c>
      <c r="T56" s="4">
        <v>135000</v>
      </c>
      <c r="U56" s="4">
        <v>0</v>
      </c>
      <c r="V56" s="4">
        <v>0</v>
      </c>
      <c r="W56" s="4"/>
      <c r="X56" s="4"/>
      <c r="Y56" s="4"/>
      <c r="Z56" s="4"/>
      <c r="AA56" s="4"/>
      <c r="AB56" s="3" t="s">
        <v>813</v>
      </c>
      <c r="AC56" s="3">
        <v>732000</v>
      </c>
      <c r="AD56" s="299"/>
      <c r="AE56" s="299"/>
      <c r="AF56" s="299"/>
      <c r="AG56" s="299"/>
      <c r="AH56" s="299"/>
      <c r="AI56" s="299"/>
      <c r="AJ56" s="299"/>
      <c r="AK56" s="27"/>
      <c r="AL56" s="27"/>
      <c r="AM56" s="27"/>
    </row>
    <row r="57" spans="1:39" s="5" customFormat="1" ht="45" customHeight="1">
      <c r="A57" s="3">
        <f t="shared" si="0"/>
        <v>53</v>
      </c>
      <c r="B57" s="28">
        <v>2200</v>
      </c>
      <c r="C57" s="3" t="s">
        <v>573</v>
      </c>
      <c r="D57" s="4">
        <v>1700000</v>
      </c>
      <c r="E57" s="4">
        <v>1700000</v>
      </c>
      <c r="F57" s="4">
        <v>0</v>
      </c>
      <c r="G57" s="4">
        <v>150000</v>
      </c>
      <c r="H57" s="4">
        <v>0</v>
      </c>
      <c r="I57" s="4">
        <v>0</v>
      </c>
      <c r="J57" s="4">
        <v>43261</v>
      </c>
      <c r="K57" s="4">
        <v>43261</v>
      </c>
      <c r="L57" s="4">
        <v>43261</v>
      </c>
      <c r="M57" s="4">
        <v>6739</v>
      </c>
      <c r="N57" s="4">
        <v>120000</v>
      </c>
      <c r="O57" s="4">
        <v>1530000</v>
      </c>
      <c r="P57" s="4">
        <v>106739</v>
      </c>
      <c r="Q57" s="4"/>
      <c r="R57" s="4"/>
      <c r="S57" s="4">
        <v>0</v>
      </c>
      <c r="T57" s="4">
        <v>100000</v>
      </c>
      <c r="U57" s="4">
        <v>20000</v>
      </c>
      <c r="V57" s="4">
        <v>20000</v>
      </c>
      <c r="W57" s="4"/>
      <c r="X57" s="4"/>
      <c r="Y57" s="4"/>
      <c r="Z57" s="4"/>
      <c r="AA57" s="4"/>
      <c r="AB57" s="3" t="s">
        <v>618</v>
      </c>
      <c r="AC57" s="3">
        <v>732000</v>
      </c>
      <c r="AD57" s="299"/>
      <c r="AE57" s="299"/>
      <c r="AF57" s="299"/>
      <c r="AG57" s="299"/>
      <c r="AH57" s="299"/>
      <c r="AI57" s="299"/>
      <c r="AJ57" s="299"/>
      <c r="AK57" s="27"/>
      <c r="AL57" s="27"/>
      <c r="AM57" s="27"/>
    </row>
    <row r="58" spans="1:39" s="5" customFormat="1" ht="45" customHeight="1">
      <c r="A58" s="3">
        <f t="shared" si="0"/>
        <v>54</v>
      </c>
      <c r="B58" s="28">
        <v>20000</v>
      </c>
      <c r="C58" s="3" t="s">
        <v>688</v>
      </c>
      <c r="D58" s="4">
        <v>2500000</v>
      </c>
      <c r="E58" s="4">
        <v>2500000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400000</v>
      </c>
      <c r="O58" s="4">
        <v>2100000</v>
      </c>
      <c r="P58" s="4">
        <v>0</v>
      </c>
      <c r="Q58" s="4"/>
      <c r="R58" s="4"/>
      <c r="S58" s="4">
        <v>0</v>
      </c>
      <c r="T58" s="4">
        <v>0</v>
      </c>
      <c r="U58" s="4">
        <v>400000</v>
      </c>
      <c r="V58" s="4">
        <v>400000</v>
      </c>
      <c r="W58" s="4"/>
      <c r="X58" s="4"/>
      <c r="Y58" s="4"/>
      <c r="Z58" s="4"/>
      <c r="AA58" s="4"/>
      <c r="AB58" s="3" t="s">
        <v>1275</v>
      </c>
      <c r="AC58" s="3">
        <v>732000</v>
      </c>
      <c r="AD58" s="299"/>
      <c r="AE58" s="299"/>
      <c r="AF58" s="299"/>
      <c r="AG58" s="299"/>
      <c r="AH58" s="299"/>
      <c r="AI58" s="299"/>
      <c r="AJ58" s="299"/>
      <c r="AK58" s="27"/>
      <c r="AL58" s="27"/>
      <c r="AM58" s="27"/>
    </row>
    <row r="59" spans="1:39" s="5" customFormat="1" ht="45" customHeight="1">
      <c r="A59" s="3">
        <f t="shared" si="0"/>
        <v>55</v>
      </c>
      <c r="B59" s="28">
        <v>20001</v>
      </c>
      <c r="C59" s="3" t="s">
        <v>784</v>
      </c>
      <c r="D59" s="4">
        <v>3200000</v>
      </c>
      <c r="E59" s="4">
        <v>3200000</v>
      </c>
      <c r="F59" s="4">
        <v>0</v>
      </c>
      <c r="G59" s="4">
        <v>100000</v>
      </c>
      <c r="H59" s="4">
        <v>0</v>
      </c>
      <c r="I59" s="4">
        <v>3838</v>
      </c>
      <c r="J59" s="4">
        <v>0</v>
      </c>
      <c r="K59" s="4">
        <v>3838</v>
      </c>
      <c r="L59" s="4">
        <v>3838</v>
      </c>
      <c r="M59" s="4">
        <v>146162</v>
      </c>
      <c r="N59" s="4">
        <v>0</v>
      </c>
      <c r="O59" s="4">
        <v>3050000</v>
      </c>
      <c r="P59" s="4">
        <v>96162</v>
      </c>
      <c r="Q59" s="435">
        <v>50000</v>
      </c>
      <c r="R59" s="4"/>
      <c r="S59" s="4">
        <v>50000</v>
      </c>
      <c r="T59" s="4">
        <v>0</v>
      </c>
      <c r="U59" s="4">
        <v>0</v>
      </c>
      <c r="V59" s="4">
        <v>0</v>
      </c>
      <c r="W59" s="4"/>
      <c r="X59" s="4"/>
      <c r="Y59" s="4"/>
      <c r="Z59" s="4"/>
      <c r="AA59" s="4"/>
      <c r="AB59" s="3" t="s">
        <v>1269</v>
      </c>
      <c r="AC59" s="3">
        <v>742000</v>
      </c>
      <c r="AD59" s="299"/>
      <c r="AE59" s="299"/>
      <c r="AF59" s="299"/>
      <c r="AG59" s="299"/>
      <c r="AH59" s="299"/>
      <c r="AI59" s="299"/>
      <c r="AJ59" s="299"/>
      <c r="AK59" s="27"/>
      <c r="AL59" s="27"/>
      <c r="AM59" s="27"/>
    </row>
    <row r="60" spans="1:39" s="5" customFormat="1" ht="45" customHeight="1">
      <c r="A60" s="3">
        <f t="shared" si="0"/>
        <v>56</v>
      </c>
      <c r="B60" s="28">
        <v>20002</v>
      </c>
      <c r="C60" s="3" t="s">
        <v>689</v>
      </c>
      <c r="D60" s="4">
        <v>1500000</v>
      </c>
      <c r="E60" s="4">
        <v>1500000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100000</v>
      </c>
      <c r="N60" s="4">
        <v>1000000</v>
      </c>
      <c r="O60" s="4">
        <v>400000</v>
      </c>
      <c r="P60" s="4">
        <v>0</v>
      </c>
      <c r="Q60" s="435">
        <v>100000</v>
      </c>
      <c r="R60" s="4"/>
      <c r="S60" s="4">
        <v>100000</v>
      </c>
      <c r="T60" s="4">
        <v>0</v>
      </c>
      <c r="U60" s="4">
        <v>1000000</v>
      </c>
      <c r="V60" s="4">
        <v>1000000</v>
      </c>
      <c r="W60" s="4"/>
      <c r="X60" s="4"/>
      <c r="Y60" s="4"/>
      <c r="Z60" s="4"/>
      <c r="AA60" s="4"/>
      <c r="AB60" s="3" t="s">
        <v>785</v>
      </c>
      <c r="AC60" s="3">
        <v>742000</v>
      </c>
      <c r="AD60" s="299"/>
      <c r="AE60" s="299"/>
      <c r="AF60" s="299"/>
      <c r="AG60" s="299"/>
      <c r="AH60" s="299"/>
      <c r="AI60" s="299"/>
      <c r="AJ60" s="299"/>
      <c r="AK60" s="27"/>
      <c r="AL60" s="27"/>
      <c r="AM60" s="27"/>
    </row>
    <row r="61" spans="1:39" s="5" customFormat="1" ht="45" customHeight="1">
      <c r="A61" s="3">
        <f t="shared" si="0"/>
        <v>57</v>
      </c>
      <c r="B61" s="28">
        <v>20005</v>
      </c>
      <c r="C61" s="3" t="s">
        <v>692</v>
      </c>
      <c r="D61" s="4">
        <v>1685000</v>
      </c>
      <c r="E61" s="4">
        <v>1685000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1685000</v>
      </c>
      <c r="P61" s="4"/>
      <c r="Q61" s="490">
        <v>0</v>
      </c>
      <c r="R61" s="4"/>
      <c r="S61" s="4">
        <v>0</v>
      </c>
      <c r="T61" s="4"/>
      <c r="U61" s="4">
        <v>0</v>
      </c>
      <c r="V61" s="4">
        <v>0</v>
      </c>
      <c r="W61" s="4"/>
      <c r="X61" s="4"/>
      <c r="Y61" s="4"/>
      <c r="Z61" s="4"/>
      <c r="AA61" s="4"/>
      <c r="AB61" s="3" t="s">
        <v>693</v>
      </c>
      <c r="AC61" s="3">
        <v>746000</v>
      </c>
      <c r="AD61" s="299"/>
      <c r="AE61" s="299"/>
      <c r="AF61" s="299"/>
      <c r="AG61" s="299"/>
      <c r="AH61" s="299"/>
      <c r="AI61" s="299"/>
      <c r="AJ61" s="299"/>
      <c r="AK61" s="27"/>
      <c r="AL61" s="27"/>
      <c r="AM61" s="27"/>
    </row>
    <row r="62" spans="1:39" s="5" customFormat="1" ht="45" customHeight="1">
      <c r="A62" s="3">
        <f t="shared" si="0"/>
        <v>58</v>
      </c>
      <c r="B62" s="28">
        <v>20006</v>
      </c>
      <c r="C62" s="3" t="s">
        <v>694</v>
      </c>
      <c r="D62" s="4">
        <v>4000000</v>
      </c>
      <c r="E62" s="4">
        <v>4000000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4000000</v>
      </c>
      <c r="P62" s="4"/>
      <c r="Q62" s="4"/>
      <c r="R62" s="4"/>
      <c r="S62" s="4">
        <v>0</v>
      </c>
      <c r="T62" s="4"/>
      <c r="U62" s="4">
        <v>0</v>
      </c>
      <c r="V62" s="4">
        <v>0</v>
      </c>
      <c r="W62" s="4"/>
      <c r="X62" s="4"/>
      <c r="Y62" s="4"/>
      <c r="Z62" s="4"/>
      <c r="AA62" s="4"/>
      <c r="AB62" s="3" t="s">
        <v>695</v>
      </c>
      <c r="AC62" s="3">
        <v>746000</v>
      </c>
      <c r="AD62" s="299"/>
      <c r="AE62" s="299"/>
      <c r="AF62" s="299"/>
      <c r="AG62" s="299"/>
      <c r="AH62" s="299"/>
      <c r="AI62" s="299"/>
      <c r="AJ62" s="299"/>
      <c r="AK62" s="27"/>
      <c r="AL62" s="27"/>
      <c r="AM62" s="27"/>
    </row>
    <row r="63" spans="1:39" s="5" customFormat="1" ht="45" customHeight="1">
      <c r="A63" s="3">
        <f t="shared" si="0"/>
        <v>59</v>
      </c>
      <c r="B63" s="28">
        <v>20007</v>
      </c>
      <c r="C63" s="3" t="s">
        <v>696</v>
      </c>
      <c r="D63" s="4">
        <v>700000</v>
      </c>
      <c r="E63" s="4">
        <v>700000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700000</v>
      </c>
      <c r="P63" s="4">
        <v>0</v>
      </c>
      <c r="Q63" s="4"/>
      <c r="R63" s="4"/>
      <c r="S63" s="4">
        <v>0</v>
      </c>
      <c r="T63" s="4">
        <v>0</v>
      </c>
      <c r="U63" s="4">
        <v>0</v>
      </c>
      <c r="V63" s="4">
        <v>0</v>
      </c>
      <c r="W63" s="4"/>
      <c r="X63" s="4"/>
      <c r="Y63" s="4"/>
      <c r="Z63" s="4"/>
      <c r="AA63" s="4"/>
      <c r="AB63" s="3" t="s">
        <v>697</v>
      </c>
      <c r="AC63" s="3">
        <v>746000</v>
      </c>
      <c r="AD63" s="299"/>
      <c r="AE63" s="299"/>
      <c r="AF63" s="299"/>
      <c r="AG63" s="299"/>
      <c r="AH63" s="299"/>
      <c r="AI63" s="299"/>
      <c r="AJ63" s="299"/>
      <c r="AK63" s="27"/>
      <c r="AL63" s="27"/>
      <c r="AM63" s="27"/>
    </row>
    <row r="64" spans="1:39" s="5" customFormat="1" ht="45" customHeight="1">
      <c r="A64" s="3">
        <f t="shared" si="0"/>
        <v>60</v>
      </c>
      <c r="B64" s="28">
        <v>20008</v>
      </c>
      <c r="C64" s="3" t="s">
        <v>698</v>
      </c>
      <c r="D64" s="4">
        <v>1900000</v>
      </c>
      <c r="E64" s="4">
        <v>1900000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300000</v>
      </c>
      <c r="O64" s="4">
        <v>1600000</v>
      </c>
      <c r="P64" s="4"/>
      <c r="Q64" s="4"/>
      <c r="R64" s="4"/>
      <c r="S64" s="4">
        <v>0</v>
      </c>
      <c r="T64" s="4"/>
      <c r="U64" s="4">
        <v>300000</v>
      </c>
      <c r="V64" s="4">
        <v>300000</v>
      </c>
      <c r="W64" s="4"/>
      <c r="X64" s="4"/>
      <c r="Y64" s="4"/>
      <c r="Z64" s="4"/>
      <c r="AA64" s="4"/>
      <c r="AB64" s="3" t="s">
        <v>699</v>
      </c>
      <c r="AC64" s="3">
        <v>732000</v>
      </c>
      <c r="AD64" s="299"/>
      <c r="AE64" s="299"/>
      <c r="AF64" s="299"/>
      <c r="AG64" s="299"/>
      <c r="AH64" s="299"/>
      <c r="AI64" s="299"/>
      <c r="AJ64" s="299"/>
      <c r="AK64" s="27"/>
      <c r="AL64" s="27"/>
      <c r="AM64" s="27"/>
    </row>
    <row r="65" spans="1:39" s="5" customFormat="1" ht="53.4" customHeight="1">
      <c r="A65" s="3">
        <f t="shared" si="0"/>
        <v>61</v>
      </c>
      <c r="B65" s="28">
        <v>20009</v>
      </c>
      <c r="C65" s="3" t="s">
        <v>794</v>
      </c>
      <c r="D65" s="4">
        <v>2150000</v>
      </c>
      <c r="E65" s="4">
        <v>2150000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150000</v>
      </c>
      <c r="N65" s="4">
        <v>300000</v>
      </c>
      <c r="O65" s="4">
        <v>1700000</v>
      </c>
      <c r="P65" s="4"/>
      <c r="Q65" s="435">
        <v>150000</v>
      </c>
      <c r="R65" s="4"/>
      <c r="S65" s="4">
        <v>150000</v>
      </c>
      <c r="T65" s="4"/>
      <c r="U65" s="4">
        <v>300000</v>
      </c>
      <c r="V65" s="4">
        <v>300000</v>
      </c>
      <c r="W65" s="4"/>
      <c r="X65" s="4"/>
      <c r="Y65" s="4"/>
      <c r="Z65" s="4"/>
      <c r="AA65" s="4"/>
      <c r="AB65" s="3" t="s">
        <v>1197</v>
      </c>
      <c r="AC65" s="3">
        <v>732000</v>
      </c>
      <c r="AD65" s="299"/>
      <c r="AE65" s="299"/>
      <c r="AF65" s="299"/>
      <c r="AG65" s="299"/>
      <c r="AH65" s="299"/>
      <c r="AI65" s="299"/>
      <c r="AJ65" s="299"/>
      <c r="AK65" s="27"/>
      <c r="AL65" s="27"/>
      <c r="AM65" s="27"/>
    </row>
    <row r="66" spans="1:39" s="5" customFormat="1" ht="45" customHeight="1">
      <c r="A66" s="3">
        <f t="shared" si="0"/>
        <v>62</v>
      </c>
      <c r="B66" s="28">
        <v>20056</v>
      </c>
      <c r="C66" s="3" t="s">
        <v>898</v>
      </c>
      <c r="D66" s="4">
        <v>1500000</v>
      </c>
      <c r="E66" s="4"/>
      <c r="F66" s="4">
        <v>1500000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140000</v>
      </c>
      <c r="O66" s="4">
        <v>1360000</v>
      </c>
      <c r="P66" s="4"/>
      <c r="Q66" s="4"/>
      <c r="R66" s="4"/>
      <c r="S66" s="4">
        <v>0</v>
      </c>
      <c r="T66" s="4"/>
      <c r="U66" s="4">
        <v>140000</v>
      </c>
      <c r="V66" s="4">
        <v>140000</v>
      </c>
      <c r="W66" s="4"/>
      <c r="X66" s="4"/>
      <c r="Y66" s="4"/>
      <c r="Z66" s="4"/>
      <c r="AA66" s="4"/>
      <c r="AB66" s="3" t="s">
        <v>899</v>
      </c>
      <c r="AC66" s="3">
        <v>742000</v>
      </c>
      <c r="AD66" s="299"/>
      <c r="AE66" s="299"/>
      <c r="AF66" s="299"/>
      <c r="AG66" s="299"/>
      <c r="AH66" s="299"/>
      <c r="AI66" s="299"/>
      <c r="AJ66" s="299"/>
      <c r="AK66" s="27"/>
      <c r="AL66" s="27"/>
      <c r="AM66" s="27"/>
    </row>
    <row r="67" spans="1:39" s="5" customFormat="1" ht="45" customHeight="1">
      <c r="A67" s="3">
        <f t="shared" si="0"/>
        <v>63</v>
      </c>
      <c r="B67" s="28">
        <v>20057</v>
      </c>
      <c r="C67" s="3" t="s">
        <v>900</v>
      </c>
      <c r="D67" s="4">
        <v>350000</v>
      </c>
      <c r="E67" s="4"/>
      <c r="F67" s="4">
        <v>350000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350000</v>
      </c>
      <c r="O67" s="4">
        <v>0</v>
      </c>
      <c r="P67" s="4">
        <v>0</v>
      </c>
      <c r="Q67" s="4"/>
      <c r="R67" s="4"/>
      <c r="S67" s="4">
        <v>0</v>
      </c>
      <c r="T67" s="4">
        <v>0</v>
      </c>
      <c r="U67" s="4">
        <v>350000</v>
      </c>
      <c r="V67" s="4">
        <v>350000</v>
      </c>
      <c r="W67" s="4"/>
      <c r="X67" s="4"/>
      <c r="Y67" s="4"/>
      <c r="Z67" s="4"/>
      <c r="AA67" s="4"/>
      <c r="AB67" s="3" t="s">
        <v>901</v>
      </c>
      <c r="AC67" s="3">
        <v>742000</v>
      </c>
      <c r="AD67" s="299"/>
      <c r="AE67" s="299"/>
      <c r="AF67" s="299"/>
      <c r="AG67" s="299"/>
      <c r="AH67" s="299"/>
      <c r="AI67" s="299"/>
      <c r="AJ67" s="299"/>
      <c r="AK67" s="27"/>
      <c r="AL67" s="27"/>
      <c r="AM67" s="27"/>
    </row>
    <row r="68" spans="1:39" s="5" customFormat="1" ht="45" customHeight="1">
      <c r="A68" s="3">
        <f t="shared" si="0"/>
        <v>64</v>
      </c>
      <c r="B68" s="28">
        <v>20058</v>
      </c>
      <c r="C68" s="3" t="s">
        <v>902</v>
      </c>
      <c r="D68" s="4">
        <v>800000</v>
      </c>
      <c r="E68" s="4"/>
      <c r="F68" s="4">
        <v>800000</v>
      </c>
      <c r="G68" s="4"/>
      <c r="H68" s="4"/>
      <c r="I68" s="4"/>
      <c r="J68" s="4"/>
      <c r="K68" s="4">
        <v>0</v>
      </c>
      <c r="L68" s="4">
        <v>0</v>
      </c>
      <c r="M68" s="4">
        <v>0</v>
      </c>
      <c r="N68" s="4">
        <v>100000</v>
      </c>
      <c r="O68" s="4">
        <v>700000</v>
      </c>
      <c r="P68" s="4"/>
      <c r="Q68" s="4"/>
      <c r="R68" s="4"/>
      <c r="S68" s="4"/>
      <c r="T68" s="4"/>
      <c r="U68" s="4">
        <v>100000</v>
      </c>
      <c r="V68" s="4">
        <v>100000</v>
      </c>
      <c r="W68" s="4"/>
      <c r="X68" s="4"/>
      <c r="Y68" s="4"/>
      <c r="Z68" s="4"/>
      <c r="AA68" s="4"/>
      <c r="AB68" s="3" t="s">
        <v>1390</v>
      </c>
      <c r="AC68" s="3">
        <v>732000</v>
      </c>
      <c r="AD68" s="299"/>
      <c r="AE68" s="299"/>
      <c r="AF68" s="299"/>
      <c r="AG68" s="299"/>
      <c r="AH68" s="299"/>
      <c r="AI68" s="299"/>
      <c r="AJ68" s="299"/>
      <c r="AK68" s="27"/>
      <c r="AL68" s="27"/>
      <c r="AM68" s="27"/>
    </row>
    <row r="69" spans="1:39" s="5" customFormat="1" ht="45" customHeight="1">
      <c r="A69" s="3">
        <f t="shared" si="0"/>
        <v>65</v>
      </c>
      <c r="B69" s="28">
        <v>20059</v>
      </c>
      <c r="C69" s="3" t="s">
        <v>903</v>
      </c>
      <c r="D69" s="4">
        <v>530000</v>
      </c>
      <c r="E69" s="4"/>
      <c r="F69" s="4">
        <v>530000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50000</v>
      </c>
      <c r="O69" s="4">
        <v>480000</v>
      </c>
      <c r="P69" s="4">
        <v>0</v>
      </c>
      <c r="Q69" s="4"/>
      <c r="R69" s="4"/>
      <c r="S69" s="4">
        <v>0</v>
      </c>
      <c r="T69" s="4">
        <v>0</v>
      </c>
      <c r="U69" s="4">
        <v>50000</v>
      </c>
      <c r="V69" s="4">
        <v>50000</v>
      </c>
      <c r="W69" s="4"/>
      <c r="X69" s="4"/>
      <c r="Y69" s="4"/>
      <c r="Z69" s="4"/>
      <c r="AA69" s="4"/>
      <c r="AB69" s="3" t="s">
        <v>904</v>
      </c>
      <c r="AC69" s="3">
        <v>742000</v>
      </c>
      <c r="AD69" s="299"/>
      <c r="AE69" s="299"/>
      <c r="AF69" s="299"/>
      <c r="AG69" s="299"/>
      <c r="AH69" s="299"/>
      <c r="AI69" s="299"/>
      <c r="AJ69" s="299"/>
      <c r="AK69" s="27"/>
      <c r="AL69" s="27"/>
      <c r="AM69" s="27"/>
    </row>
    <row r="70" spans="1:39" s="5" customFormat="1" ht="45" customHeight="1">
      <c r="A70" s="3">
        <f>A69+1</f>
        <v>66</v>
      </c>
      <c r="B70" s="28">
        <v>20060</v>
      </c>
      <c r="C70" s="3" t="s">
        <v>905</v>
      </c>
      <c r="D70" s="4">
        <v>640000</v>
      </c>
      <c r="E70" s="4"/>
      <c r="F70" s="4">
        <v>640000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250000</v>
      </c>
      <c r="O70" s="4">
        <v>390000</v>
      </c>
      <c r="P70" s="4">
        <v>0</v>
      </c>
      <c r="Q70" s="4"/>
      <c r="R70" s="4"/>
      <c r="S70" s="4">
        <v>0</v>
      </c>
      <c r="T70" s="4">
        <v>0</v>
      </c>
      <c r="U70" s="4">
        <v>250000</v>
      </c>
      <c r="V70" s="4">
        <v>250000</v>
      </c>
      <c r="W70" s="4"/>
      <c r="X70" s="4"/>
      <c r="Y70" s="4"/>
      <c r="Z70" s="4"/>
      <c r="AA70" s="4"/>
      <c r="AB70" s="3" t="s">
        <v>1391</v>
      </c>
      <c r="AC70" s="3">
        <v>732000</v>
      </c>
      <c r="AD70" s="299"/>
      <c r="AE70" s="299"/>
      <c r="AF70" s="299"/>
      <c r="AG70" s="299"/>
      <c r="AH70" s="299"/>
      <c r="AI70" s="299"/>
      <c r="AJ70" s="299"/>
      <c r="AK70" s="27"/>
      <c r="AL70" s="27"/>
      <c r="AM70" s="27"/>
    </row>
    <row r="71" spans="1:39" s="5" customFormat="1" ht="45" customHeight="1">
      <c r="A71" s="3">
        <f>A70+1</f>
        <v>67</v>
      </c>
      <c r="B71" s="28">
        <v>20061</v>
      </c>
      <c r="C71" s="3" t="s">
        <v>1175</v>
      </c>
      <c r="D71" s="4">
        <v>700000</v>
      </c>
      <c r="E71" s="4"/>
      <c r="F71" s="4">
        <v>700000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500000</v>
      </c>
      <c r="O71" s="4">
        <v>200000</v>
      </c>
      <c r="P71" s="4">
        <v>0</v>
      </c>
      <c r="Q71" s="4"/>
      <c r="R71" s="4"/>
      <c r="S71" s="4">
        <v>0</v>
      </c>
      <c r="T71" s="4">
        <v>0</v>
      </c>
      <c r="U71" s="4">
        <v>500000</v>
      </c>
      <c r="V71" s="4">
        <v>500000</v>
      </c>
      <c r="W71" s="4"/>
      <c r="X71" s="4"/>
      <c r="Y71" s="4"/>
      <c r="Z71" s="4"/>
      <c r="AA71" s="4"/>
      <c r="AB71" s="28" t="s">
        <v>1392</v>
      </c>
      <c r="AC71" s="3">
        <v>732000</v>
      </c>
      <c r="AD71" s="299"/>
      <c r="AE71" s="299"/>
      <c r="AF71" s="299"/>
      <c r="AG71" s="299"/>
      <c r="AH71" s="299"/>
      <c r="AI71" s="299"/>
      <c r="AJ71" s="299"/>
      <c r="AK71" s="27"/>
      <c r="AL71" s="27"/>
      <c r="AM71" s="27"/>
    </row>
    <row r="72" spans="1:39" s="5" customFormat="1" ht="45" customHeight="1">
      <c r="A72" s="3">
        <f>A71+1</f>
        <v>68</v>
      </c>
      <c r="B72" s="28">
        <v>20062</v>
      </c>
      <c r="C72" s="3" t="s">
        <v>29</v>
      </c>
      <c r="D72" s="4">
        <v>50000</v>
      </c>
      <c r="E72" s="4"/>
      <c r="F72" s="4">
        <v>50000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50000</v>
      </c>
      <c r="O72" s="4">
        <v>0</v>
      </c>
      <c r="P72" s="4">
        <v>0</v>
      </c>
      <c r="Q72" s="4"/>
      <c r="R72" s="4"/>
      <c r="S72" s="4">
        <v>0</v>
      </c>
      <c r="T72" s="4">
        <v>0</v>
      </c>
      <c r="U72" s="4">
        <v>50000</v>
      </c>
      <c r="V72" s="4">
        <v>50000</v>
      </c>
      <c r="W72" s="4"/>
      <c r="X72" s="4"/>
      <c r="Y72" s="4"/>
      <c r="Z72" s="4"/>
      <c r="AA72" s="4"/>
      <c r="AB72" s="3" t="s">
        <v>1266</v>
      </c>
      <c r="AC72" s="3">
        <v>732000</v>
      </c>
      <c r="AD72" s="299"/>
      <c r="AE72" s="299"/>
      <c r="AF72" s="299"/>
      <c r="AG72" s="299"/>
      <c r="AH72" s="299"/>
      <c r="AI72" s="299"/>
      <c r="AJ72" s="299"/>
      <c r="AK72" s="27"/>
      <c r="AL72" s="27"/>
      <c r="AM72" s="27"/>
    </row>
    <row r="73" spans="1:39" s="436" customFormat="1" ht="45" customHeight="1">
      <c r="A73" s="29">
        <f>A72</f>
        <v>68</v>
      </c>
      <c r="B73" s="29"/>
      <c r="C73" s="29" t="s">
        <v>337</v>
      </c>
      <c r="D73" s="60">
        <v>452393075</v>
      </c>
      <c r="E73" s="60">
        <v>446899791</v>
      </c>
      <c r="F73" s="60">
        <v>5493284</v>
      </c>
      <c r="G73" s="60">
        <v>191206071</v>
      </c>
      <c r="H73" s="60">
        <v>163008137</v>
      </c>
      <c r="I73" s="60">
        <v>3411354</v>
      </c>
      <c r="J73" s="60">
        <v>10060371</v>
      </c>
      <c r="K73" s="60">
        <v>13471725</v>
      </c>
      <c r="L73" s="60">
        <v>176479862</v>
      </c>
      <c r="M73" s="60">
        <v>5503493</v>
      </c>
      <c r="N73" s="60">
        <v>24560000</v>
      </c>
      <c r="O73" s="60">
        <v>245849720</v>
      </c>
      <c r="P73" s="60">
        <v>14726209</v>
      </c>
      <c r="Q73" s="60">
        <v>560000</v>
      </c>
      <c r="R73" s="60">
        <v>0</v>
      </c>
      <c r="S73" s="60">
        <v>560000</v>
      </c>
      <c r="T73" s="60">
        <v>9782716</v>
      </c>
      <c r="U73" s="60">
        <v>14777284</v>
      </c>
      <c r="V73" s="60">
        <v>14973956</v>
      </c>
      <c r="W73" s="60">
        <v>0</v>
      </c>
      <c r="X73" s="60">
        <v>0</v>
      </c>
      <c r="Y73" s="60">
        <v>0</v>
      </c>
      <c r="Z73" s="60">
        <v>0</v>
      </c>
      <c r="AA73" s="60">
        <v>-196672</v>
      </c>
      <c r="AB73" s="29"/>
      <c r="AC73" s="29"/>
      <c r="AD73" s="299"/>
      <c r="AE73" s="299"/>
      <c r="AF73" s="299"/>
      <c r="AG73" s="299"/>
      <c r="AH73" s="299"/>
      <c r="AI73" s="299"/>
      <c r="AJ73" s="299"/>
      <c r="AK73" s="27"/>
      <c r="AL73" s="27"/>
      <c r="AM73" s="27"/>
    </row>
  </sheetData>
  <conditionalFormatting sqref="O72 O1:O70 O74:O1048576">
    <cfRule type="cellIs" dxfId="137" priority="2" operator="lessThan">
      <formula>0</formula>
    </cfRule>
  </conditionalFormatting>
  <conditionalFormatting sqref="O71">
    <cfRule type="cellIs" dxfId="136" priority="1" operator="lessThan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showZeros="0" rightToLeft="1" tabSelected="1" topLeftCell="A5" workbookViewId="0">
      <selection activeCell="M31" sqref="M31"/>
    </sheetView>
  </sheetViews>
  <sheetFormatPr defaultColWidth="9.109375" defaultRowHeight="13.8"/>
  <cols>
    <col min="1" max="1" width="9.109375" style="138"/>
    <col min="2" max="7" width="9.109375" style="81"/>
    <col min="8" max="8" width="14.33203125" style="81" customWidth="1"/>
    <col min="9" max="16384" width="9.109375" style="81"/>
  </cols>
  <sheetData>
    <row r="3" spans="1:10" ht="18">
      <c r="B3" s="139"/>
      <c r="C3" s="139"/>
      <c r="D3" s="139"/>
      <c r="E3" s="139"/>
      <c r="F3" s="139"/>
      <c r="G3" s="139"/>
      <c r="H3" s="139"/>
    </row>
    <row r="4" spans="1:10" ht="21">
      <c r="B4" s="91" t="s">
        <v>204</v>
      </c>
      <c r="H4" s="91" t="s">
        <v>205</v>
      </c>
      <c r="J4" s="282"/>
    </row>
    <row r="5" spans="1:10" ht="15.6">
      <c r="B5" s="83"/>
    </row>
    <row r="6" spans="1:10" ht="24.9" customHeight="1">
      <c r="A6" s="140"/>
      <c r="B6" s="83" t="s">
        <v>155</v>
      </c>
      <c r="H6" s="83">
        <v>3</v>
      </c>
    </row>
    <row r="7" spans="1:10" ht="24.9" customHeight="1">
      <c r="A7" s="140"/>
      <c r="B7" s="83" t="s">
        <v>1241</v>
      </c>
      <c r="H7" s="83">
        <v>4</v>
      </c>
    </row>
    <row r="8" spans="1:10" ht="24.9" customHeight="1">
      <c r="A8" s="140"/>
      <c r="B8" s="83" t="s">
        <v>946</v>
      </c>
      <c r="F8" s="83"/>
    </row>
    <row r="9" spans="1:10" ht="24.9" customHeight="1">
      <c r="A9" s="140"/>
      <c r="B9" s="83" t="s">
        <v>206</v>
      </c>
      <c r="F9" s="141"/>
      <c r="G9" s="188"/>
      <c r="H9" s="89" t="s">
        <v>1362</v>
      </c>
    </row>
    <row r="10" spans="1:10" ht="24.9" customHeight="1">
      <c r="A10" s="140"/>
      <c r="B10" s="83" t="s">
        <v>339</v>
      </c>
      <c r="F10" s="142"/>
      <c r="G10" s="188"/>
      <c r="H10" s="89" t="s">
        <v>1363</v>
      </c>
    </row>
    <row r="11" spans="1:10" ht="24.9" customHeight="1">
      <c r="A11" s="140"/>
      <c r="B11" s="83" t="s">
        <v>180</v>
      </c>
      <c r="F11" s="142"/>
      <c r="G11" s="188"/>
      <c r="H11" s="89" t="s">
        <v>1364</v>
      </c>
    </row>
    <row r="12" spans="1:10" ht="24.9" customHeight="1">
      <c r="A12" s="140"/>
      <c r="B12" s="83" t="s">
        <v>700</v>
      </c>
      <c r="F12" s="143"/>
      <c r="G12" s="188"/>
      <c r="H12" s="89" t="s">
        <v>1365</v>
      </c>
    </row>
    <row r="13" spans="1:10" ht="24.9" customHeight="1">
      <c r="A13" s="140"/>
      <c r="B13" s="83" t="s">
        <v>1384</v>
      </c>
      <c r="F13" s="143"/>
      <c r="G13" s="188"/>
      <c r="H13" s="89" t="s">
        <v>1366</v>
      </c>
    </row>
    <row r="14" spans="1:10" ht="24.9" customHeight="1">
      <c r="A14" s="140"/>
      <c r="B14" s="83" t="s">
        <v>314</v>
      </c>
      <c r="F14" s="143"/>
      <c r="G14" s="188"/>
      <c r="H14" s="89" t="s">
        <v>873</v>
      </c>
    </row>
    <row r="15" spans="1:10" ht="24.9" customHeight="1">
      <c r="A15" s="140"/>
      <c r="B15" s="83" t="s">
        <v>229</v>
      </c>
      <c r="F15" s="142"/>
      <c r="G15" s="188"/>
      <c r="H15" s="89" t="s">
        <v>874</v>
      </c>
    </row>
    <row r="16" spans="1:10" ht="24.9" customHeight="1">
      <c r="A16" s="140"/>
      <c r="B16" s="83" t="s">
        <v>230</v>
      </c>
      <c r="F16" s="142"/>
      <c r="G16" s="188"/>
      <c r="H16" s="89" t="s">
        <v>1367</v>
      </c>
    </row>
    <row r="17" spans="1:8" ht="24.9" customHeight="1">
      <c r="A17" s="140"/>
      <c r="B17" s="83" t="s">
        <v>387</v>
      </c>
      <c r="F17" s="142"/>
      <c r="G17" s="188"/>
      <c r="H17" s="89" t="s">
        <v>1368</v>
      </c>
    </row>
    <row r="18" spans="1:8" ht="24.9" customHeight="1">
      <c r="A18" s="140"/>
      <c r="B18" s="83" t="s">
        <v>213</v>
      </c>
      <c r="F18" s="142"/>
      <c r="G18" s="188"/>
      <c r="H18" s="89" t="s">
        <v>1369</v>
      </c>
    </row>
    <row r="19" spans="1:8" ht="24.9" customHeight="1">
      <c r="A19" s="140"/>
      <c r="B19" s="83" t="s">
        <v>1242</v>
      </c>
      <c r="H19" s="89" t="s">
        <v>1370</v>
      </c>
    </row>
    <row r="20" spans="1:8" ht="24.9" customHeight="1">
      <c r="A20" s="140"/>
      <c r="B20" s="83" t="s">
        <v>195</v>
      </c>
      <c r="H20" s="89" t="s">
        <v>1371</v>
      </c>
    </row>
    <row r="21" spans="1:8" ht="15.6">
      <c r="A21" s="140"/>
    </row>
    <row r="23" spans="1:8">
      <c r="B23" s="36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"/>
  <sheetViews>
    <sheetView showZeros="0" rightToLeft="1" tabSelected="1" topLeftCell="A7" zoomScaleNormal="100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34.88671875" style="191" customWidth="1"/>
    <col min="5" max="5" width="30.44140625" style="191" customWidth="1"/>
    <col min="6" max="6" width="12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3" spans="1:17" ht="21">
      <c r="A3" s="190"/>
      <c r="C3" s="192" t="s">
        <v>202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1.6" thickBot="1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16.2" thickBot="1">
      <c r="A5" s="190"/>
      <c r="B5" s="193" t="s">
        <v>136</v>
      </c>
      <c r="C5" s="190" t="s">
        <v>1250</v>
      </c>
      <c r="D5" s="190"/>
      <c r="E5" s="190"/>
      <c r="F5" s="194">
        <v>349016816</v>
      </c>
      <c r="I5" s="190"/>
      <c r="J5" s="190"/>
      <c r="K5" s="190"/>
      <c r="L5" s="190"/>
    </row>
    <row r="6" spans="1:17" ht="21.6" thickBot="1">
      <c r="A6" s="190"/>
      <c r="C6" s="192"/>
      <c r="D6" s="190"/>
      <c r="E6" s="190"/>
      <c r="F6" s="190"/>
      <c r="H6" s="190"/>
      <c r="I6" s="190"/>
      <c r="J6" s="190"/>
      <c r="K6" s="190"/>
      <c r="L6" s="190"/>
    </row>
    <row r="7" spans="1:17" ht="16.2" thickBot="1">
      <c r="B7" s="193" t="s">
        <v>136</v>
      </c>
      <c r="C7" s="190" t="s">
        <v>1435</v>
      </c>
      <c r="D7" s="190"/>
      <c r="F7" s="194">
        <v>114</v>
      </c>
      <c r="I7" s="190"/>
      <c r="J7" s="190"/>
      <c r="K7" s="190"/>
      <c r="L7" s="190"/>
      <c r="M7" s="190"/>
      <c r="N7" s="190"/>
      <c r="O7" s="190"/>
      <c r="P7" s="190"/>
      <c r="Q7" s="190"/>
    </row>
    <row r="8" spans="1:17" ht="15.6">
      <c r="B8" s="193"/>
      <c r="C8" s="190"/>
      <c r="D8" s="190"/>
      <c r="E8" s="190"/>
      <c r="F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ht="15.6">
      <c r="B9" s="193" t="s">
        <v>136</v>
      </c>
      <c r="C9" s="190" t="s">
        <v>231</v>
      </c>
      <c r="D9" s="190"/>
      <c r="E9" s="190"/>
      <c r="F9" s="190"/>
      <c r="G9" s="190"/>
      <c r="H9" s="190"/>
      <c r="I9" s="190"/>
      <c r="J9" s="190"/>
      <c r="K9" s="190"/>
      <c r="L9" s="190"/>
    </row>
    <row r="10" spans="1:17" ht="16.2" thickBot="1"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D11" s="203" t="s">
        <v>232</v>
      </c>
      <c r="E11" s="204" t="s">
        <v>233</v>
      </c>
      <c r="F11" s="205" t="s">
        <v>234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>
      <c r="C12" s="193"/>
      <c r="D12" s="197" t="s">
        <v>13</v>
      </c>
      <c r="E12" s="206">
        <v>244086638</v>
      </c>
      <c r="F12" s="214">
        <v>0.69935495027838435</v>
      </c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</row>
    <row r="13" spans="1:17" ht="15.6">
      <c r="C13" s="193"/>
      <c r="D13" s="197" t="s">
        <v>14</v>
      </c>
      <c r="E13" s="206">
        <v>25030000</v>
      </c>
      <c r="F13" s="214">
        <v>7.1715742200799862E-2</v>
      </c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7" ht="15.6" hidden="1">
      <c r="C14" s="193"/>
      <c r="D14" s="197" t="s">
        <v>15</v>
      </c>
      <c r="E14" s="206">
        <v>0</v>
      </c>
      <c r="F14" s="214">
        <v>0</v>
      </c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6">
      <c r="C15" s="193"/>
      <c r="D15" s="197" t="s">
        <v>239</v>
      </c>
      <c r="E15" s="206">
        <v>866000</v>
      </c>
      <c r="F15" s="214">
        <v>2.4812558028722603E-3</v>
      </c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</row>
    <row r="16" spans="1:17" ht="15.6" hidden="1">
      <c r="C16" s="193"/>
      <c r="D16" s="197" t="s">
        <v>575</v>
      </c>
      <c r="E16" s="206">
        <v>0</v>
      </c>
      <c r="F16" s="214">
        <v>0</v>
      </c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1:17" ht="15.6">
      <c r="C17" s="193"/>
      <c r="D17" s="197" t="s">
        <v>79</v>
      </c>
      <c r="E17" s="206">
        <v>79034178</v>
      </c>
      <c r="F17" s="214">
        <v>0.22644805171794358</v>
      </c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1:17" ht="16.2" thickBot="1">
      <c r="C18" s="193"/>
      <c r="D18" s="200" t="s">
        <v>88</v>
      </c>
      <c r="E18" s="208">
        <v>349016816</v>
      </c>
      <c r="F18" s="272">
        <v>1</v>
      </c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1:17" ht="15.6">
      <c r="C19" s="193"/>
      <c r="D19" s="196"/>
      <c r="E19" s="217"/>
      <c r="F19" s="328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7" ht="15.6">
      <c r="C20" s="193"/>
      <c r="D20" s="196"/>
      <c r="E20" s="217"/>
      <c r="F20" s="328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7" s="263" customFormat="1" ht="15.6">
      <c r="C21" s="265" t="s">
        <v>136</v>
      </c>
      <c r="D21" s="262" t="s">
        <v>606</v>
      </c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263" customFormat="1" ht="15.6">
      <c r="C22" s="265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263" customFormat="1" ht="15.6">
      <c r="A23" s="262"/>
      <c r="B23" s="262"/>
      <c r="C23" s="262"/>
      <c r="D23" s="322" t="s">
        <v>1253</v>
      </c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263" customFormat="1" ht="15.6">
      <c r="A24" s="262"/>
      <c r="B24" s="262"/>
      <c r="C24" s="262"/>
      <c r="D24" s="600" t="s">
        <v>1252</v>
      </c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263" customFormat="1" ht="15.6">
      <c r="A25" s="262"/>
      <c r="B25" s="262"/>
      <c r="C25" s="262"/>
      <c r="D25" s="32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263" customFormat="1" ht="15.6">
      <c r="A26" s="262"/>
      <c r="B26" s="262"/>
      <c r="C26" s="262"/>
      <c r="D26" s="32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263" customFormat="1" ht="15.6">
      <c r="A27" s="262"/>
      <c r="B27" s="262"/>
      <c r="C27" s="262"/>
      <c r="D27" s="32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263" customFormat="1" ht="15.6">
      <c r="A28" s="262"/>
      <c r="B28" s="262"/>
      <c r="C28" s="262"/>
      <c r="D28" s="32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263" customFormat="1" ht="15.6">
      <c r="A29" s="262"/>
      <c r="B29" s="262"/>
      <c r="C29" s="262"/>
      <c r="D29" s="32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ht="15.6">
      <c r="B30" s="193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  <row r="34" spans="3:17" s="284" customFormat="1" ht="15.6">
      <c r="C34" s="285" t="s">
        <v>136</v>
      </c>
      <c r="D34" s="286" t="s">
        <v>1373</v>
      </c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</row>
    <row r="38" spans="3:17" ht="15.6">
      <c r="D38" s="19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showZeros="0" rightToLeft="1" tabSelected="1" topLeftCell="A4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42.109375" style="191" customWidth="1"/>
    <col min="5" max="5" width="30.44140625" style="191" customWidth="1"/>
    <col min="6" max="6" width="12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2" spans="1:17" ht="21">
      <c r="A2" s="190"/>
      <c r="C2" s="192" t="s">
        <v>202</v>
      </c>
      <c r="D2" s="190"/>
      <c r="E2" s="190"/>
      <c r="F2" s="190"/>
      <c r="G2" s="190"/>
      <c r="H2" s="190"/>
      <c r="I2" s="190"/>
      <c r="J2" s="190"/>
      <c r="K2" s="190"/>
      <c r="L2" s="190"/>
    </row>
    <row r="3" spans="1:17" ht="21">
      <c r="A3" s="190"/>
      <c r="C3" s="192"/>
      <c r="D3" s="190"/>
      <c r="E3" s="190"/>
      <c r="F3" s="190"/>
      <c r="G3" s="190"/>
      <c r="H3" s="190"/>
      <c r="I3" s="190"/>
      <c r="J3" s="190"/>
      <c r="K3" s="190"/>
      <c r="L3" s="190"/>
    </row>
    <row r="4" spans="1:17" ht="15.6">
      <c r="B4" s="193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</row>
    <row r="5" spans="1:17" ht="15.6">
      <c r="B5" s="193" t="s">
        <v>136</v>
      </c>
      <c r="C5" s="190" t="s">
        <v>1247</v>
      </c>
      <c r="D5" s="190"/>
      <c r="E5" s="190"/>
      <c r="F5" s="190"/>
      <c r="H5" s="199"/>
      <c r="I5" s="190"/>
      <c r="J5" s="190"/>
      <c r="K5" s="190"/>
      <c r="L5" s="190"/>
      <c r="M5" s="190"/>
      <c r="N5" s="190"/>
      <c r="O5" s="190"/>
      <c r="P5" s="190"/>
      <c r="Q5" s="190"/>
    </row>
    <row r="6" spans="1:17" ht="16.2" thickBot="1">
      <c r="C6" s="190"/>
      <c r="D6" s="190"/>
      <c r="E6" s="190"/>
      <c r="F6" s="190"/>
      <c r="H6" s="190"/>
      <c r="I6" s="190"/>
      <c r="J6" s="190"/>
      <c r="K6" s="190"/>
      <c r="L6" s="190"/>
    </row>
    <row r="7" spans="1:17" ht="15.6">
      <c r="D7" s="203" t="s">
        <v>235</v>
      </c>
      <c r="E7" s="195" t="s">
        <v>233</v>
      </c>
      <c r="F7" s="196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</row>
    <row r="8" spans="1:17" ht="15.6">
      <c r="C8" s="193"/>
      <c r="D8" s="197" t="s">
        <v>236</v>
      </c>
      <c r="E8" s="209">
        <v>150043868</v>
      </c>
      <c r="F8" s="199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ht="15.6">
      <c r="C9" s="193"/>
      <c r="D9" s="197" t="s">
        <v>237</v>
      </c>
      <c r="E9" s="209">
        <v>198972948</v>
      </c>
      <c r="F9" s="199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</row>
    <row r="10" spans="1:17" ht="15.6">
      <c r="C10" s="193"/>
      <c r="D10" s="197" t="s">
        <v>238</v>
      </c>
      <c r="E10" s="209"/>
      <c r="F10" s="199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C11" s="193"/>
      <c r="D11" s="197" t="s">
        <v>273</v>
      </c>
      <c r="E11" s="198">
        <v>17000000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>
      <c r="C12" s="193"/>
      <c r="D12" s="197" t="s">
        <v>27</v>
      </c>
      <c r="E12" s="329">
        <v>18000000</v>
      </c>
      <c r="F12" s="199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</row>
    <row r="13" spans="1:17" ht="15.6">
      <c r="C13" s="193"/>
      <c r="D13" s="197" t="s">
        <v>608</v>
      </c>
      <c r="E13" s="329">
        <v>11000000</v>
      </c>
      <c r="F13" s="199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7" ht="15.6">
      <c r="C14" s="193"/>
      <c r="D14" s="197" t="s">
        <v>607</v>
      </c>
      <c r="E14" s="329">
        <v>6000000</v>
      </c>
      <c r="F14" s="199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6">
      <c r="C15" s="193"/>
      <c r="D15" s="197" t="s">
        <v>279</v>
      </c>
      <c r="E15" s="329">
        <v>5500000</v>
      </c>
      <c r="F15" s="199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</row>
    <row r="16" spans="1:17" ht="15.6" customHeight="1">
      <c r="D16" s="197" t="s">
        <v>544</v>
      </c>
      <c r="E16" s="198">
        <v>20851623</v>
      </c>
      <c r="H16" s="275"/>
    </row>
    <row r="17" spans="3:17" ht="16.2" customHeight="1">
      <c r="C17" s="193"/>
      <c r="D17" s="197" t="s">
        <v>649</v>
      </c>
      <c r="E17" s="198">
        <v>18000000</v>
      </c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3:17" ht="15.6">
      <c r="D18" s="197" t="s">
        <v>1309</v>
      </c>
      <c r="E18" s="198">
        <v>6000000</v>
      </c>
    </row>
    <row r="19" spans="3:17" ht="15.6">
      <c r="C19" s="193"/>
      <c r="D19" s="197" t="s">
        <v>546</v>
      </c>
      <c r="E19" s="329">
        <v>13406636</v>
      </c>
      <c r="F19" s="199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3:17" ht="15.6" customHeight="1">
      <c r="C20" s="193"/>
      <c r="D20" s="197" t="s">
        <v>489</v>
      </c>
      <c r="E20" s="198">
        <v>10222400</v>
      </c>
      <c r="F20" s="199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3:17" ht="15.6">
      <c r="C21" s="193"/>
      <c r="D21" s="197" t="s">
        <v>1080</v>
      </c>
      <c r="E21" s="198">
        <v>17000000</v>
      </c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</row>
    <row r="22" spans="3:17" ht="15.6">
      <c r="C22" s="193"/>
      <c r="D22" s="197" t="s">
        <v>838</v>
      </c>
      <c r="E22" s="198">
        <v>17100000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</row>
    <row r="23" spans="3:17" ht="15.75" customHeight="1" thickBot="1">
      <c r="C23" s="193"/>
      <c r="D23" s="212" t="s">
        <v>481</v>
      </c>
      <c r="E23" s="213">
        <v>9334664</v>
      </c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</row>
    <row r="25" spans="3:17" ht="15.6">
      <c r="D25" s="277" t="s">
        <v>1427</v>
      </c>
    </row>
    <row r="36" spans="4:4">
      <c r="D36" s="274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5"/>
  <sheetViews>
    <sheetView showZeros="0" rightToLeft="1" tabSelected="1" zoomScaleNormal="100" workbookViewId="0">
      <pane xSplit="3" ySplit="4" topLeftCell="D103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3.8"/>
  <cols>
    <col min="1" max="1" width="3.77734375" style="237" customWidth="1"/>
    <col min="2" max="2" width="5.77734375" style="238" customWidth="1"/>
    <col min="3" max="3" width="17.6640625" style="162" customWidth="1"/>
    <col min="4" max="4" width="11.77734375" style="148" customWidth="1"/>
    <col min="5" max="5" width="12.6640625" style="148" customWidth="1"/>
    <col min="6" max="6" width="10.77734375" style="148" customWidth="1"/>
    <col min="7" max="7" width="13" style="148" hidden="1" customWidth="1"/>
    <col min="8" max="8" width="14.33203125" style="148" hidden="1" customWidth="1"/>
    <col min="9" max="11" width="10.6640625" style="148" hidden="1" customWidth="1"/>
    <col min="12" max="12" width="11.77734375" style="148" customWidth="1"/>
    <col min="13" max="14" width="10.77734375" style="148" customWidth="1"/>
    <col min="15" max="15" width="11.77734375" style="148" customWidth="1"/>
    <col min="16" max="17" width="11.109375" style="148" hidden="1" customWidth="1"/>
    <col min="18" max="18" width="10.6640625" style="148" hidden="1" customWidth="1"/>
    <col min="19" max="19" width="13" style="148" hidden="1" customWidth="1"/>
    <col min="20" max="20" width="9.77734375" style="148" customWidth="1"/>
    <col min="21" max="22" width="10.77734375" style="147" customWidth="1"/>
    <col min="23" max="23" width="9.77734375" style="147" customWidth="1"/>
    <col min="24" max="24" width="10.6640625" style="147" hidden="1" customWidth="1"/>
    <col min="25" max="25" width="8.77734375" style="147" customWidth="1"/>
    <col min="26" max="26" width="8.33203125" style="147" hidden="1" customWidth="1"/>
    <col min="27" max="27" width="9.77734375" style="147" customWidth="1"/>
    <col min="28" max="28" width="26.44140625" style="258" hidden="1" customWidth="1"/>
    <col min="29" max="29" width="10.6640625" style="147" hidden="1" customWidth="1"/>
    <col min="30" max="32" width="23.6640625" style="157" customWidth="1"/>
    <col min="33" max="33" width="25.88671875" style="157" customWidth="1"/>
    <col min="34" max="34" width="23.6640625" style="157" customWidth="1"/>
    <col min="35" max="35" width="12.109375" style="157" customWidth="1"/>
    <col min="36" max="16384" width="9.109375" style="147"/>
  </cols>
  <sheetData>
    <row r="1" spans="1:35" s="235" customFormat="1" ht="18">
      <c r="A1" s="234"/>
      <c r="B1" s="234"/>
      <c r="C1" s="260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6"/>
      <c r="AD1" s="157"/>
      <c r="AE1" s="157"/>
      <c r="AF1" s="157"/>
      <c r="AG1" s="157"/>
      <c r="AH1" s="157"/>
      <c r="AI1" s="157"/>
    </row>
    <row r="2" spans="1:35" ht="18">
      <c r="A2" s="234" t="s">
        <v>180</v>
      </c>
      <c r="B2" s="234"/>
      <c r="C2" s="260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162"/>
    </row>
    <row r="3" spans="1:35">
      <c r="U3" s="148"/>
    </row>
    <row r="4" spans="1:35" s="239" customFormat="1" ht="69">
      <c r="A4" s="387" t="s">
        <v>736</v>
      </c>
      <c r="B4" s="150" t="s">
        <v>1</v>
      </c>
      <c r="C4" s="150" t="s">
        <v>2</v>
      </c>
      <c r="D4" s="150" t="s">
        <v>3</v>
      </c>
      <c r="E4" s="150" t="s">
        <v>4</v>
      </c>
      <c r="F4" s="150" t="s">
        <v>5</v>
      </c>
      <c r="G4" s="150" t="s">
        <v>6</v>
      </c>
      <c r="H4" s="150" t="s">
        <v>7</v>
      </c>
      <c r="I4" s="150" t="s">
        <v>9</v>
      </c>
      <c r="J4" s="150" t="s">
        <v>132</v>
      </c>
      <c r="K4" s="150" t="s">
        <v>10</v>
      </c>
      <c r="L4" s="347" t="s">
        <v>11</v>
      </c>
      <c r="M4" s="150" t="s">
        <v>875</v>
      </c>
      <c r="N4" s="150" t="s">
        <v>876</v>
      </c>
      <c r="O4" s="9" t="s">
        <v>877</v>
      </c>
      <c r="P4" s="9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15" t="s">
        <v>13</v>
      </c>
      <c r="W4" s="15" t="s">
        <v>14</v>
      </c>
      <c r="X4" s="150" t="s">
        <v>15</v>
      </c>
      <c r="Y4" s="150" t="s">
        <v>225</v>
      </c>
      <c r="Z4" s="150" t="s">
        <v>575</v>
      </c>
      <c r="AA4" s="150" t="s">
        <v>79</v>
      </c>
      <c r="AB4" s="437" t="s">
        <v>257</v>
      </c>
      <c r="AC4" s="150" t="s">
        <v>16</v>
      </c>
      <c r="AD4" s="157"/>
      <c r="AE4" s="157"/>
      <c r="AF4" s="157"/>
      <c r="AG4" s="157"/>
      <c r="AH4" s="157"/>
      <c r="AI4" s="157"/>
    </row>
    <row r="5" spans="1:35" s="157" customFormat="1" ht="45" customHeight="1">
      <c r="A5" s="153">
        <v>1</v>
      </c>
      <c r="B5" s="153">
        <v>382</v>
      </c>
      <c r="C5" s="153" t="s">
        <v>396</v>
      </c>
      <c r="D5" s="154">
        <v>111381330</v>
      </c>
      <c r="E5" s="154">
        <v>111381330</v>
      </c>
      <c r="F5" s="154">
        <v>0</v>
      </c>
      <c r="G5" s="154">
        <v>61381330</v>
      </c>
      <c r="H5" s="154">
        <v>58085188</v>
      </c>
      <c r="I5" s="154">
        <v>0</v>
      </c>
      <c r="J5" s="154">
        <v>616525</v>
      </c>
      <c r="K5" s="154">
        <v>616525</v>
      </c>
      <c r="L5" s="154">
        <v>58701713</v>
      </c>
      <c r="M5" s="154">
        <v>12679617</v>
      </c>
      <c r="N5" s="154">
        <v>6000000</v>
      </c>
      <c r="O5" s="154">
        <v>34000000</v>
      </c>
      <c r="P5" s="154">
        <v>2679617</v>
      </c>
      <c r="Q5" s="438">
        <v>10000000</v>
      </c>
      <c r="R5" s="154"/>
      <c r="S5" s="154">
        <v>10000000</v>
      </c>
      <c r="T5" s="154">
        <v>0</v>
      </c>
      <c r="U5" s="154">
        <v>6000000</v>
      </c>
      <c r="V5" s="154">
        <v>6000000</v>
      </c>
      <c r="W5" s="154"/>
      <c r="X5" s="154"/>
      <c r="Y5" s="154"/>
      <c r="Z5" s="154"/>
      <c r="AA5" s="153"/>
      <c r="AB5" s="240" t="s">
        <v>737</v>
      </c>
      <c r="AC5" s="153">
        <v>742000</v>
      </c>
    </row>
    <row r="6" spans="1:35" s="158" customFormat="1" ht="45" customHeight="1">
      <c r="A6" s="153">
        <f t="shared" ref="A6:A69" si="0">A5+1</f>
        <v>2</v>
      </c>
      <c r="B6" s="153">
        <v>532</v>
      </c>
      <c r="C6" s="153" t="s">
        <v>72</v>
      </c>
      <c r="D6" s="154">
        <v>80090000</v>
      </c>
      <c r="E6" s="154">
        <v>80090000</v>
      </c>
      <c r="F6" s="154">
        <v>0</v>
      </c>
      <c r="G6" s="154">
        <v>80090000</v>
      </c>
      <c r="H6" s="154">
        <v>77457262</v>
      </c>
      <c r="I6" s="154">
        <v>0</v>
      </c>
      <c r="J6" s="154">
        <v>261179</v>
      </c>
      <c r="K6" s="154">
        <v>261179</v>
      </c>
      <c r="L6" s="154">
        <v>77718441</v>
      </c>
      <c r="M6" s="154">
        <v>2371559</v>
      </c>
      <c r="N6" s="154"/>
      <c r="O6" s="154">
        <v>0</v>
      </c>
      <c r="P6" s="154">
        <v>2371559</v>
      </c>
      <c r="Q6" s="154"/>
      <c r="R6" s="154"/>
      <c r="S6" s="154">
        <v>0</v>
      </c>
      <c r="T6" s="154">
        <v>0</v>
      </c>
      <c r="U6" s="154">
        <v>0</v>
      </c>
      <c r="V6" s="154">
        <v>0</v>
      </c>
      <c r="W6" s="154"/>
      <c r="X6" s="154"/>
      <c r="Y6" s="154"/>
      <c r="Z6" s="154"/>
      <c r="AA6" s="153"/>
      <c r="AB6" s="242" t="s">
        <v>531</v>
      </c>
      <c r="AC6" s="153">
        <v>742000</v>
      </c>
      <c r="AD6" s="157"/>
      <c r="AE6" s="157"/>
      <c r="AF6" s="157"/>
      <c r="AG6" s="157"/>
      <c r="AH6" s="157"/>
      <c r="AI6" s="157"/>
    </row>
    <row r="7" spans="1:35" s="158" customFormat="1" ht="45" customHeight="1">
      <c r="A7" s="153">
        <f t="shared" si="0"/>
        <v>3</v>
      </c>
      <c r="B7" s="153">
        <v>576</v>
      </c>
      <c r="C7" s="153" t="s">
        <v>73</v>
      </c>
      <c r="D7" s="154">
        <v>58113000</v>
      </c>
      <c r="E7" s="154">
        <v>76913000</v>
      </c>
      <c r="F7" s="154">
        <v>-18800000</v>
      </c>
      <c r="G7" s="154">
        <v>58113000</v>
      </c>
      <c r="H7" s="154">
        <v>55470500</v>
      </c>
      <c r="I7" s="154">
        <v>0</v>
      </c>
      <c r="J7" s="154">
        <v>2380892</v>
      </c>
      <c r="K7" s="154">
        <v>2380892</v>
      </c>
      <c r="L7" s="154">
        <v>57851392</v>
      </c>
      <c r="M7" s="154">
        <v>261608</v>
      </c>
      <c r="N7" s="154"/>
      <c r="O7" s="154">
        <v>0</v>
      </c>
      <c r="P7" s="154">
        <v>261608</v>
      </c>
      <c r="Q7" s="154"/>
      <c r="R7" s="154"/>
      <c r="S7" s="154">
        <v>0</v>
      </c>
      <c r="T7" s="154">
        <v>0</v>
      </c>
      <c r="U7" s="154">
        <v>0</v>
      </c>
      <c r="V7" s="154">
        <v>0</v>
      </c>
      <c r="W7" s="154"/>
      <c r="X7" s="154"/>
      <c r="Y7" s="154"/>
      <c r="Z7" s="154"/>
      <c r="AA7" s="154"/>
      <c r="AB7" s="153" t="s">
        <v>814</v>
      </c>
      <c r="AC7" s="153">
        <v>760000</v>
      </c>
      <c r="AD7" s="157"/>
      <c r="AE7" s="157"/>
      <c r="AF7" s="157"/>
      <c r="AG7" s="157"/>
      <c r="AH7" s="157"/>
      <c r="AI7" s="157"/>
    </row>
    <row r="8" spans="1:35" s="157" customFormat="1" ht="45" customHeight="1">
      <c r="A8" s="153">
        <f t="shared" si="0"/>
        <v>4</v>
      </c>
      <c r="B8" s="153">
        <v>1067</v>
      </c>
      <c r="C8" s="153" t="s">
        <v>74</v>
      </c>
      <c r="D8" s="154">
        <v>4975000</v>
      </c>
      <c r="E8" s="154">
        <v>4725000</v>
      </c>
      <c r="F8" s="154">
        <v>250000</v>
      </c>
      <c r="G8" s="154">
        <v>4475000</v>
      </c>
      <c r="H8" s="154">
        <v>3542673</v>
      </c>
      <c r="I8" s="154">
        <v>0</v>
      </c>
      <c r="J8" s="154">
        <v>418045</v>
      </c>
      <c r="K8" s="154">
        <v>418045</v>
      </c>
      <c r="L8" s="154">
        <v>3960718</v>
      </c>
      <c r="M8" s="154">
        <v>514282</v>
      </c>
      <c r="N8" s="154">
        <v>500000</v>
      </c>
      <c r="O8" s="154">
        <v>0</v>
      </c>
      <c r="P8" s="154">
        <v>514282</v>
      </c>
      <c r="Q8" s="154"/>
      <c r="R8" s="154"/>
      <c r="S8" s="154">
        <v>0</v>
      </c>
      <c r="T8" s="154">
        <v>0</v>
      </c>
      <c r="U8" s="154">
        <v>500000</v>
      </c>
      <c r="V8" s="154">
        <v>500000</v>
      </c>
      <c r="W8" s="154"/>
      <c r="X8" s="154"/>
      <c r="Y8" s="154"/>
      <c r="Z8" s="154"/>
      <c r="AA8" s="153"/>
      <c r="AB8" s="242" t="s">
        <v>271</v>
      </c>
      <c r="AC8" s="153">
        <v>742000</v>
      </c>
    </row>
    <row r="9" spans="1:35" s="158" customFormat="1" ht="45" customHeight="1">
      <c r="A9" s="153">
        <f t="shared" si="0"/>
        <v>5</v>
      </c>
      <c r="B9" s="153">
        <v>1207</v>
      </c>
      <c r="C9" s="153" t="s">
        <v>75</v>
      </c>
      <c r="D9" s="154">
        <v>45650000</v>
      </c>
      <c r="E9" s="154">
        <v>50650000</v>
      </c>
      <c r="F9" s="154">
        <v>-5000000</v>
      </c>
      <c r="G9" s="154">
        <v>45650000</v>
      </c>
      <c r="H9" s="154">
        <v>43344238</v>
      </c>
      <c r="I9" s="154">
        <v>0</v>
      </c>
      <c r="J9" s="154">
        <v>417175</v>
      </c>
      <c r="K9" s="154">
        <v>417175</v>
      </c>
      <c r="L9" s="154">
        <v>43761413</v>
      </c>
      <c r="M9" s="154">
        <v>1888587</v>
      </c>
      <c r="N9" s="154"/>
      <c r="O9" s="154">
        <v>0</v>
      </c>
      <c r="P9" s="154">
        <v>1888587</v>
      </c>
      <c r="Q9" s="154"/>
      <c r="R9" s="154"/>
      <c r="S9" s="154">
        <v>0</v>
      </c>
      <c r="T9" s="154">
        <v>0</v>
      </c>
      <c r="U9" s="154">
        <v>0</v>
      </c>
      <c r="V9" s="154">
        <v>0</v>
      </c>
      <c r="W9" s="154"/>
      <c r="X9" s="154"/>
      <c r="Y9" s="154"/>
      <c r="Z9" s="154"/>
      <c r="AA9" s="153"/>
      <c r="AB9" s="242" t="s">
        <v>1236</v>
      </c>
      <c r="AC9" s="153">
        <v>742000</v>
      </c>
      <c r="AD9" s="157"/>
      <c r="AE9" s="157"/>
      <c r="AF9" s="157"/>
      <c r="AG9" s="157"/>
      <c r="AH9" s="157"/>
      <c r="AI9" s="157"/>
    </row>
    <row r="10" spans="1:35" s="158" customFormat="1" ht="45" customHeight="1">
      <c r="A10" s="153">
        <f t="shared" si="0"/>
        <v>6</v>
      </c>
      <c r="B10" s="153">
        <v>1238</v>
      </c>
      <c r="C10" s="153" t="s">
        <v>889</v>
      </c>
      <c r="D10" s="154">
        <v>40500000</v>
      </c>
      <c r="E10" s="154">
        <v>40500000</v>
      </c>
      <c r="F10" s="154">
        <v>0</v>
      </c>
      <c r="G10" s="154">
        <v>25500000</v>
      </c>
      <c r="H10" s="154">
        <v>25492352</v>
      </c>
      <c r="I10" s="154">
        <v>0</v>
      </c>
      <c r="J10" s="154">
        <v>0</v>
      </c>
      <c r="K10" s="154">
        <v>0</v>
      </c>
      <c r="L10" s="154">
        <v>25492352</v>
      </c>
      <c r="M10" s="154">
        <v>7648</v>
      </c>
      <c r="N10" s="154">
        <v>2500000</v>
      </c>
      <c r="O10" s="154">
        <v>12500000</v>
      </c>
      <c r="P10" s="154">
        <v>7648</v>
      </c>
      <c r="Q10" s="438"/>
      <c r="R10" s="154"/>
      <c r="S10" s="154">
        <v>0</v>
      </c>
      <c r="T10" s="154">
        <v>0</v>
      </c>
      <c r="U10" s="154">
        <v>2500000</v>
      </c>
      <c r="V10" s="154">
        <v>500000</v>
      </c>
      <c r="W10" s="154"/>
      <c r="X10" s="154"/>
      <c r="Y10" s="154"/>
      <c r="Z10" s="154"/>
      <c r="AA10" s="154">
        <v>2000000</v>
      </c>
      <c r="AB10" s="259" t="s">
        <v>1394</v>
      </c>
      <c r="AC10" s="153">
        <v>742000</v>
      </c>
      <c r="AD10" s="157"/>
      <c r="AE10" s="157"/>
      <c r="AF10" s="157"/>
      <c r="AG10" s="157"/>
      <c r="AH10" s="157"/>
      <c r="AI10" s="157"/>
    </row>
    <row r="11" spans="1:35" s="158" customFormat="1" ht="45" customHeight="1">
      <c r="A11" s="153">
        <f t="shared" si="0"/>
        <v>7</v>
      </c>
      <c r="B11" s="153">
        <v>1298</v>
      </c>
      <c r="C11" s="153" t="s">
        <v>33</v>
      </c>
      <c r="D11" s="154">
        <v>6100000</v>
      </c>
      <c r="E11" s="154">
        <v>5600000</v>
      </c>
      <c r="F11" s="154">
        <v>500000</v>
      </c>
      <c r="G11" s="154">
        <v>5200000</v>
      </c>
      <c r="H11" s="154">
        <v>4965962</v>
      </c>
      <c r="I11" s="154">
        <v>0</v>
      </c>
      <c r="J11" s="154">
        <v>123621</v>
      </c>
      <c r="K11" s="154">
        <v>123621</v>
      </c>
      <c r="L11" s="154">
        <v>5089583</v>
      </c>
      <c r="M11" s="154">
        <v>510417</v>
      </c>
      <c r="N11" s="154">
        <v>500000</v>
      </c>
      <c r="O11" s="154">
        <v>0</v>
      </c>
      <c r="P11" s="154">
        <v>110417</v>
      </c>
      <c r="Q11" s="438">
        <v>400000</v>
      </c>
      <c r="R11" s="154"/>
      <c r="S11" s="154">
        <v>400000</v>
      </c>
      <c r="T11" s="154">
        <v>0</v>
      </c>
      <c r="U11" s="154">
        <v>500000</v>
      </c>
      <c r="V11" s="154">
        <v>500000</v>
      </c>
      <c r="W11" s="154"/>
      <c r="X11" s="154"/>
      <c r="Y11" s="154"/>
      <c r="Z11" s="154"/>
      <c r="AA11" s="153"/>
      <c r="AB11" s="242" t="s">
        <v>272</v>
      </c>
      <c r="AC11" s="153">
        <v>742000</v>
      </c>
      <c r="AD11" s="157"/>
      <c r="AE11" s="157"/>
      <c r="AF11" s="157"/>
      <c r="AG11" s="157"/>
      <c r="AH11" s="157"/>
      <c r="AI11" s="157"/>
    </row>
    <row r="12" spans="1:35" s="157" customFormat="1" ht="45" customHeight="1">
      <c r="A12" s="153">
        <f t="shared" si="0"/>
        <v>8</v>
      </c>
      <c r="B12" s="153">
        <v>1312</v>
      </c>
      <c r="C12" s="153" t="s">
        <v>34</v>
      </c>
      <c r="D12" s="154">
        <v>105451000</v>
      </c>
      <c r="E12" s="154">
        <v>105231000</v>
      </c>
      <c r="F12" s="154">
        <v>220000</v>
      </c>
      <c r="G12" s="154">
        <v>106231000</v>
      </c>
      <c r="H12" s="154">
        <v>105263348</v>
      </c>
      <c r="I12" s="154">
        <v>0</v>
      </c>
      <c r="J12" s="154">
        <v>184362</v>
      </c>
      <c r="K12" s="154">
        <v>184362</v>
      </c>
      <c r="L12" s="154">
        <v>105447710</v>
      </c>
      <c r="M12" s="154">
        <v>3290</v>
      </c>
      <c r="N12" s="154"/>
      <c r="O12" s="154">
        <v>0</v>
      </c>
      <c r="P12" s="154">
        <v>783290</v>
      </c>
      <c r="Q12" s="438">
        <v>-780000</v>
      </c>
      <c r="R12" s="154"/>
      <c r="S12" s="154">
        <v>-780000</v>
      </c>
      <c r="T12" s="154">
        <v>0</v>
      </c>
      <c r="U12" s="154">
        <v>0</v>
      </c>
      <c r="V12" s="154">
        <v>0</v>
      </c>
      <c r="W12" s="154"/>
      <c r="X12" s="154"/>
      <c r="Y12" s="154"/>
      <c r="Z12" s="154"/>
      <c r="AA12" s="153"/>
      <c r="AB12" s="153" t="s">
        <v>1284</v>
      </c>
      <c r="AC12" s="153">
        <v>930000</v>
      </c>
    </row>
    <row r="13" spans="1:35" s="5" customFormat="1" ht="45" customHeight="1">
      <c r="A13" s="153">
        <f t="shared" si="0"/>
        <v>9</v>
      </c>
      <c r="B13" s="3">
        <v>1314</v>
      </c>
      <c r="C13" s="3" t="s">
        <v>42</v>
      </c>
      <c r="D13" s="4">
        <v>5200000</v>
      </c>
      <c r="E13" s="4">
        <v>5200000</v>
      </c>
      <c r="F13" s="154">
        <v>0</v>
      </c>
      <c r="G13" s="4">
        <v>3200000</v>
      </c>
      <c r="H13" s="4">
        <v>1880402</v>
      </c>
      <c r="I13" s="4">
        <v>0</v>
      </c>
      <c r="J13" s="4">
        <v>765279</v>
      </c>
      <c r="K13" s="154">
        <v>765279</v>
      </c>
      <c r="L13" s="154">
        <v>2645681</v>
      </c>
      <c r="M13" s="154">
        <v>2554319</v>
      </c>
      <c r="N13" s="154"/>
      <c r="O13" s="154">
        <v>0</v>
      </c>
      <c r="P13" s="154">
        <v>554319</v>
      </c>
      <c r="Q13" s="154"/>
      <c r="R13" s="439">
        <v>2000000</v>
      </c>
      <c r="S13" s="154">
        <v>2000000</v>
      </c>
      <c r="T13" s="154">
        <v>0</v>
      </c>
      <c r="U13" s="154">
        <v>0</v>
      </c>
      <c r="V13" s="154">
        <v>0</v>
      </c>
      <c r="W13" s="154"/>
      <c r="X13" s="154"/>
      <c r="Y13" s="154"/>
      <c r="Z13" s="154"/>
      <c r="AA13" s="153"/>
      <c r="AB13" s="3" t="s">
        <v>457</v>
      </c>
      <c r="AC13" s="3">
        <v>742000</v>
      </c>
      <c r="AD13" s="157"/>
      <c r="AE13" s="157"/>
      <c r="AF13" s="157"/>
      <c r="AG13" s="157"/>
      <c r="AH13" s="157"/>
      <c r="AI13" s="157"/>
    </row>
    <row r="14" spans="1:35" s="5" customFormat="1" ht="45" customHeight="1">
      <c r="A14" s="153">
        <f t="shared" si="0"/>
        <v>10</v>
      </c>
      <c r="B14" s="3">
        <v>1322</v>
      </c>
      <c r="C14" s="3" t="s">
        <v>35</v>
      </c>
      <c r="D14" s="4">
        <v>18500000</v>
      </c>
      <c r="E14" s="4">
        <v>18500000</v>
      </c>
      <c r="F14" s="154">
        <v>0</v>
      </c>
      <c r="G14" s="4">
        <v>10850000</v>
      </c>
      <c r="H14" s="4">
        <v>9799391</v>
      </c>
      <c r="I14" s="4">
        <v>0</v>
      </c>
      <c r="J14" s="4">
        <v>0</v>
      </c>
      <c r="K14" s="154">
        <v>0</v>
      </c>
      <c r="L14" s="154">
        <v>9799391</v>
      </c>
      <c r="M14" s="154">
        <v>50609</v>
      </c>
      <c r="N14" s="154">
        <v>1000000</v>
      </c>
      <c r="O14" s="154">
        <v>7650000</v>
      </c>
      <c r="P14" s="154">
        <v>1050609</v>
      </c>
      <c r="Q14" s="154"/>
      <c r="R14" s="154"/>
      <c r="S14" s="154">
        <v>0</v>
      </c>
      <c r="T14" s="154">
        <v>1000000</v>
      </c>
      <c r="U14" s="154">
        <v>0</v>
      </c>
      <c r="V14" s="154">
        <v>0</v>
      </c>
      <c r="W14" s="154"/>
      <c r="X14" s="154"/>
      <c r="Y14" s="154"/>
      <c r="Z14" s="154"/>
      <c r="AA14" s="153"/>
      <c r="AB14" s="3" t="s">
        <v>586</v>
      </c>
      <c r="AC14" s="3">
        <v>742000</v>
      </c>
      <c r="AD14" s="157"/>
      <c r="AE14" s="157"/>
      <c r="AF14" s="157"/>
      <c r="AG14" s="157"/>
      <c r="AH14" s="157"/>
      <c r="AI14" s="157"/>
    </row>
    <row r="15" spans="1:35" s="5" customFormat="1" ht="45" customHeight="1">
      <c r="A15" s="153">
        <f t="shared" si="0"/>
        <v>11</v>
      </c>
      <c r="B15" s="3">
        <v>1357</v>
      </c>
      <c r="C15" s="3" t="s">
        <v>43</v>
      </c>
      <c r="D15" s="4">
        <v>18812000</v>
      </c>
      <c r="E15" s="4">
        <v>25000000</v>
      </c>
      <c r="F15" s="154">
        <v>-6188000</v>
      </c>
      <c r="G15" s="4">
        <v>18112000</v>
      </c>
      <c r="H15" s="4">
        <v>16972872</v>
      </c>
      <c r="I15" s="4">
        <v>0</v>
      </c>
      <c r="J15" s="4">
        <v>140687</v>
      </c>
      <c r="K15" s="154">
        <v>140687</v>
      </c>
      <c r="L15" s="154">
        <v>17113559</v>
      </c>
      <c r="M15" s="154">
        <v>1698441</v>
      </c>
      <c r="N15" s="154"/>
      <c r="O15" s="154">
        <v>0</v>
      </c>
      <c r="P15" s="154">
        <v>998441</v>
      </c>
      <c r="Q15" s="438">
        <v>700000</v>
      </c>
      <c r="R15" s="154"/>
      <c r="S15" s="154">
        <v>700000</v>
      </c>
      <c r="T15" s="154">
        <v>0</v>
      </c>
      <c r="U15" s="154">
        <v>0</v>
      </c>
      <c r="V15" s="154">
        <v>0</v>
      </c>
      <c r="W15" s="154"/>
      <c r="X15" s="154"/>
      <c r="Y15" s="154"/>
      <c r="Z15" s="154"/>
      <c r="AA15" s="153"/>
      <c r="AB15" s="3" t="s">
        <v>739</v>
      </c>
      <c r="AC15" s="3">
        <v>829000</v>
      </c>
      <c r="AD15" s="157"/>
      <c r="AE15" s="157"/>
      <c r="AF15" s="157"/>
      <c r="AG15" s="157"/>
      <c r="AH15" s="157"/>
      <c r="AI15" s="157"/>
    </row>
    <row r="16" spans="1:35" s="157" customFormat="1" ht="45" customHeight="1">
      <c r="A16" s="153">
        <f t="shared" si="0"/>
        <v>12</v>
      </c>
      <c r="B16" s="153">
        <v>1375</v>
      </c>
      <c r="C16" s="153" t="s">
        <v>352</v>
      </c>
      <c r="D16" s="154">
        <v>40150000</v>
      </c>
      <c r="E16" s="154">
        <v>40150000</v>
      </c>
      <c r="F16" s="154">
        <v>0</v>
      </c>
      <c r="G16" s="154">
        <v>30150000</v>
      </c>
      <c r="H16" s="154">
        <v>29776272</v>
      </c>
      <c r="I16" s="154">
        <v>0</v>
      </c>
      <c r="J16" s="154">
        <v>69641</v>
      </c>
      <c r="K16" s="154">
        <v>69641</v>
      </c>
      <c r="L16" s="154">
        <v>29845913</v>
      </c>
      <c r="M16" s="154">
        <v>304087</v>
      </c>
      <c r="N16" s="154">
        <v>0</v>
      </c>
      <c r="O16" s="154">
        <v>10000000</v>
      </c>
      <c r="P16" s="154">
        <v>304087</v>
      </c>
      <c r="Q16" s="154"/>
      <c r="R16" s="154"/>
      <c r="S16" s="154">
        <v>0</v>
      </c>
      <c r="T16" s="154">
        <v>0</v>
      </c>
      <c r="U16" s="154">
        <v>0</v>
      </c>
      <c r="V16" s="154">
        <v>0</v>
      </c>
      <c r="W16" s="154"/>
      <c r="X16" s="154"/>
      <c r="Y16" s="154"/>
      <c r="Z16" s="154"/>
      <c r="AA16" s="153"/>
      <c r="AB16" s="153" t="s">
        <v>1395</v>
      </c>
      <c r="AC16" s="153">
        <v>747000</v>
      </c>
    </row>
    <row r="17" spans="1:35" s="157" customFormat="1" ht="45" customHeight="1">
      <c r="A17" s="153">
        <f t="shared" si="0"/>
        <v>13</v>
      </c>
      <c r="B17" s="153">
        <v>1588</v>
      </c>
      <c r="C17" s="153" t="s">
        <v>25</v>
      </c>
      <c r="D17" s="154">
        <v>50500000</v>
      </c>
      <c r="E17" s="154">
        <v>50500000</v>
      </c>
      <c r="F17" s="154">
        <v>0</v>
      </c>
      <c r="G17" s="154">
        <v>45500000</v>
      </c>
      <c r="H17" s="154">
        <v>37035422</v>
      </c>
      <c r="I17" s="154">
        <v>0</v>
      </c>
      <c r="J17" s="154">
        <v>29825</v>
      </c>
      <c r="K17" s="154">
        <v>29825</v>
      </c>
      <c r="L17" s="154">
        <v>37065247</v>
      </c>
      <c r="M17" s="154">
        <v>8434753</v>
      </c>
      <c r="N17" s="154"/>
      <c r="O17" s="154">
        <v>5000000</v>
      </c>
      <c r="P17" s="154">
        <v>8434753</v>
      </c>
      <c r="Q17" s="154"/>
      <c r="R17" s="154"/>
      <c r="S17" s="154">
        <v>0</v>
      </c>
      <c r="T17" s="154">
        <v>0</v>
      </c>
      <c r="U17" s="154">
        <v>0</v>
      </c>
      <c r="V17" s="154">
        <v>0</v>
      </c>
      <c r="W17" s="154"/>
      <c r="X17" s="154"/>
      <c r="Y17" s="154"/>
      <c r="Z17" s="154"/>
      <c r="AA17" s="153"/>
      <c r="AB17" s="153" t="s">
        <v>906</v>
      </c>
      <c r="AC17" s="153">
        <v>742000</v>
      </c>
    </row>
    <row r="18" spans="1:35" s="157" customFormat="1" ht="45" customHeight="1">
      <c r="A18" s="153">
        <f t="shared" si="0"/>
        <v>14</v>
      </c>
      <c r="B18" s="153">
        <v>1615</v>
      </c>
      <c r="C18" s="153" t="s">
        <v>104</v>
      </c>
      <c r="D18" s="154">
        <v>27700000</v>
      </c>
      <c r="E18" s="154">
        <v>27700000</v>
      </c>
      <c r="F18" s="154">
        <v>0</v>
      </c>
      <c r="G18" s="154">
        <v>23700000</v>
      </c>
      <c r="H18" s="154">
        <v>22126262</v>
      </c>
      <c r="I18" s="154">
        <v>0</v>
      </c>
      <c r="J18" s="154">
        <v>501377</v>
      </c>
      <c r="K18" s="154">
        <v>501377</v>
      </c>
      <c r="L18" s="154">
        <v>22627639</v>
      </c>
      <c r="M18" s="154">
        <v>1072361</v>
      </c>
      <c r="N18" s="154"/>
      <c r="O18" s="154">
        <v>4000000</v>
      </c>
      <c r="P18" s="154">
        <v>1072361</v>
      </c>
      <c r="Q18" s="154"/>
      <c r="R18" s="154"/>
      <c r="S18" s="154">
        <v>0</v>
      </c>
      <c r="T18" s="154">
        <v>0</v>
      </c>
      <c r="U18" s="154">
        <v>0</v>
      </c>
      <c r="V18" s="154">
        <v>0</v>
      </c>
      <c r="W18" s="154"/>
      <c r="X18" s="154"/>
      <c r="Y18" s="154"/>
      <c r="Z18" s="154"/>
      <c r="AA18" s="153"/>
      <c r="AB18" s="153" t="s">
        <v>1396</v>
      </c>
      <c r="AC18" s="153">
        <v>742000</v>
      </c>
    </row>
    <row r="19" spans="1:35" s="157" customFormat="1" ht="45" customHeight="1">
      <c r="A19" s="153">
        <f t="shared" si="0"/>
        <v>15</v>
      </c>
      <c r="B19" s="153">
        <v>1657</v>
      </c>
      <c r="C19" s="153" t="s">
        <v>27</v>
      </c>
      <c r="D19" s="154">
        <v>60000000</v>
      </c>
      <c r="E19" s="154">
        <v>60000000</v>
      </c>
      <c r="F19" s="154">
        <v>0</v>
      </c>
      <c r="G19" s="154">
        <v>36200000</v>
      </c>
      <c r="H19" s="154">
        <v>22215450</v>
      </c>
      <c r="I19" s="154">
        <v>0</v>
      </c>
      <c r="J19" s="154">
        <v>1832757</v>
      </c>
      <c r="K19" s="154">
        <v>1832757</v>
      </c>
      <c r="L19" s="154">
        <v>24048207</v>
      </c>
      <c r="M19" s="154">
        <v>14151793</v>
      </c>
      <c r="N19" s="154">
        <v>18000000</v>
      </c>
      <c r="O19" s="154">
        <v>3800000</v>
      </c>
      <c r="P19" s="154">
        <v>12151793</v>
      </c>
      <c r="Q19" s="438">
        <v>2000000</v>
      </c>
      <c r="R19" s="154"/>
      <c r="S19" s="154">
        <v>2000000</v>
      </c>
      <c r="T19" s="154">
        <v>0</v>
      </c>
      <c r="U19" s="154">
        <v>18000000</v>
      </c>
      <c r="V19" s="154">
        <v>18000000</v>
      </c>
      <c r="W19" s="154"/>
      <c r="X19" s="154"/>
      <c r="Y19" s="154"/>
      <c r="Z19" s="154"/>
      <c r="AA19" s="153"/>
      <c r="AB19" s="3" t="s">
        <v>740</v>
      </c>
      <c r="AC19" s="153">
        <v>742000</v>
      </c>
    </row>
    <row r="20" spans="1:35" s="5" customFormat="1" ht="45" customHeight="1">
      <c r="A20" s="153">
        <f t="shared" si="0"/>
        <v>16</v>
      </c>
      <c r="B20" s="3">
        <v>1670</v>
      </c>
      <c r="C20" s="3" t="s">
        <v>95</v>
      </c>
      <c r="D20" s="4">
        <v>17800000</v>
      </c>
      <c r="E20" s="4">
        <v>17800000</v>
      </c>
      <c r="F20" s="4">
        <v>0</v>
      </c>
      <c r="G20" s="4">
        <v>1850000</v>
      </c>
      <c r="H20" s="4">
        <v>666390</v>
      </c>
      <c r="I20" s="4">
        <v>0</v>
      </c>
      <c r="J20" s="4">
        <v>166551</v>
      </c>
      <c r="K20" s="154">
        <v>166551</v>
      </c>
      <c r="L20" s="154">
        <v>832941</v>
      </c>
      <c r="M20" s="154">
        <v>1717059</v>
      </c>
      <c r="N20" s="154">
        <v>0</v>
      </c>
      <c r="O20" s="4">
        <v>15250000</v>
      </c>
      <c r="P20" s="4">
        <v>1017059</v>
      </c>
      <c r="Q20" s="435">
        <v>700000</v>
      </c>
      <c r="R20" s="4"/>
      <c r="S20" s="4">
        <v>700000</v>
      </c>
      <c r="T20" s="4">
        <v>0</v>
      </c>
      <c r="U20" s="4">
        <v>0</v>
      </c>
      <c r="V20" s="4">
        <v>0</v>
      </c>
      <c r="W20" s="4"/>
      <c r="X20" s="4"/>
      <c r="Y20" s="4"/>
      <c r="Z20" s="4"/>
      <c r="AA20" s="3"/>
      <c r="AB20" s="3" t="s">
        <v>555</v>
      </c>
      <c r="AC20" s="3">
        <v>742000</v>
      </c>
      <c r="AD20" s="157"/>
      <c r="AE20" s="157"/>
      <c r="AF20" s="157"/>
      <c r="AG20" s="157"/>
      <c r="AH20" s="157"/>
      <c r="AI20" s="157"/>
    </row>
    <row r="21" spans="1:35" s="5" customFormat="1" ht="45" customHeight="1">
      <c r="A21" s="153">
        <f t="shared" si="0"/>
        <v>17</v>
      </c>
      <c r="B21" s="3">
        <v>1693</v>
      </c>
      <c r="C21" s="3" t="s">
        <v>106</v>
      </c>
      <c r="D21" s="4">
        <v>4500000</v>
      </c>
      <c r="E21" s="4">
        <v>4500000</v>
      </c>
      <c r="F21" s="4">
        <v>0</v>
      </c>
      <c r="G21" s="4">
        <v>2416703</v>
      </c>
      <c r="H21" s="4">
        <v>376078</v>
      </c>
      <c r="I21" s="4">
        <v>567525</v>
      </c>
      <c r="J21" s="4">
        <v>258337</v>
      </c>
      <c r="K21" s="154">
        <v>825862</v>
      </c>
      <c r="L21" s="154">
        <v>1201940</v>
      </c>
      <c r="M21" s="154">
        <v>1214763</v>
      </c>
      <c r="N21" s="4"/>
      <c r="O21" s="4">
        <v>2083297</v>
      </c>
      <c r="P21" s="4">
        <v>1214763</v>
      </c>
      <c r="Q21" s="4"/>
      <c r="R21" s="4"/>
      <c r="S21" s="4">
        <v>0</v>
      </c>
      <c r="T21" s="4">
        <v>0</v>
      </c>
      <c r="U21" s="4">
        <v>0</v>
      </c>
      <c r="V21" s="4">
        <v>0</v>
      </c>
      <c r="W21" s="4"/>
      <c r="X21" s="4"/>
      <c r="Y21" s="4"/>
      <c r="Z21" s="4"/>
      <c r="AA21" s="4"/>
      <c r="AB21" s="3" t="s">
        <v>951</v>
      </c>
      <c r="AC21" s="3">
        <v>732000</v>
      </c>
      <c r="AD21" s="157"/>
      <c r="AE21" s="157"/>
      <c r="AF21" s="157"/>
      <c r="AG21" s="157"/>
      <c r="AH21" s="157"/>
      <c r="AI21" s="157"/>
    </row>
    <row r="22" spans="1:35" s="157" customFormat="1" ht="45" customHeight="1">
      <c r="A22" s="153">
        <f t="shared" si="0"/>
        <v>18</v>
      </c>
      <c r="B22" s="153">
        <v>1723</v>
      </c>
      <c r="C22" s="153" t="s">
        <v>28</v>
      </c>
      <c r="D22" s="154">
        <v>1978521</v>
      </c>
      <c r="E22" s="154">
        <v>2178521</v>
      </c>
      <c r="F22" s="154">
        <v>-200000</v>
      </c>
      <c r="G22" s="154">
        <v>2178521</v>
      </c>
      <c r="H22" s="154">
        <v>1609724</v>
      </c>
      <c r="I22" s="154">
        <v>0</v>
      </c>
      <c r="J22" s="154">
        <v>56665</v>
      </c>
      <c r="K22" s="154">
        <v>56665</v>
      </c>
      <c r="L22" s="154">
        <v>1666389</v>
      </c>
      <c r="M22" s="154">
        <v>312132</v>
      </c>
      <c r="N22" s="154"/>
      <c r="O22" s="154">
        <v>0</v>
      </c>
      <c r="P22" s="154">
        <v>512132</v>
      </c>
      <c r="Q22" s="154"/>
      <c r="R22" s="154"/>
      <c r="S22" s="154">
        <v>0</v>
      </c>
      <c r="T22" s="154">
        <v>200000</v>
      </c>
      <c r="U22" s="154">
        <v>-200000</v>
      </c>
      <c r="V22" s="154">
        <v>-200000</v>
      </c>
      <c r="W22" s="154"/>
      <c r="X22" s="154"/>
      <c r="Y22" s="154"/>
      <c r="Z22" s="154"/>
      <c r="AA22" s="4"/>
      <c r="AB22" s="153" t="s">
        <v>1285</v>
      </c>
      <c r="AC22" s="153">
        <v>732000</v>
      </c>
    </row>
    <row r="23" spans="1:35" s="5" customFormat="1" ht="45" customHeight="1">
      <c r="A23" s="153">
        <f t="shared" si="0"/>
        <v>19</v>
      </c>
      <c r="B23" s="3">
        <v>1773</v>
      </c>
      <c r="C23" s="3" t="s">
        <v>96</v>
      </c>
      <c r="D23" s="4">
        <v>1500000</v>
      </c>
      <c r="E23" s="4">
        <v>1500000</v>
      </c>
      <c r="F23" s="4">
        <v>0</v>
      </c>
      <c r="G23" s="4">
        <v>1500000</v>
      </c>
      <c r="H23" s="4">
        <v>867075</v>
      </c>
      <c r="I23" s="4">
        <v>17401</v>
      </c>
      <c r="J23" s="4">
        <v>254339</v>
      </c>
      <c r="K23" s="154">
        <v>271740</v>
      </c>
      <c r="L23" s="154">
        <v>1138815</v>
      </c>
      <c r="M23" s="154">
        <v>361185</v>
      </c>
      <c r="N23" s="154"/>
      <c r="O23" s="4">
        <v>0</v>
      </c>
      <c r="P23" s="4">
        <v>361185</v>
      </c>
      <c r="Q23" s="4"/>
      <c r="R23" s="4"/>
      <c r="S23" s="4">
        <v>0</v>
      </c>
      <c r="T23" s="4">
        <v>0</v>
      </c>
      <c r="U23" s="4">
        <v>0</v>
      </c>
      <c r="V23" s="4"/>
      <c r="W23" s="4">
        <v>0</v>
      </c>
      <c r="X23" s="4"/>
      <c r="Y23" s="4"/>
      <c r="Z23" s="4"/>
      <c r="AA23" s="3"/>
      <c r="AB23" s="3" t="s">
        <v>287</v>
      </c>
      <c r="AC23" s="3">
        <v>746000</v>
      </c>
      <c r="AD23" s="157"/>
      <c r="AE23" s="157"/>
      <c r="AF23" s="157"/>
      <c r="AG23" s="157"/>
      <c r="AH23" s="157"/>
      <c r="AI23" s="157"/>
    </row>
    <row r="24" spans="1:35" ht="45" customHeight="1">
      <c r="A24" s="153">
        <f t="shared" si="0"/>
        <v>20</v>
      </c>
      <c r="B24" s="241">
        <v>1819</v>
      </c>
      <c r="C24" s="153" t="s">
        <v>395</v>
      </c>
      <c r="D24" s="154">
        <v>18000000</v>
      </c>
      <c r="E24" s="154">
        <v>18000000</v>
      </c>
      <c r="F24" s="154">
        <v>0</v>
      </c>
      <c r="G24" s="154">
        <v>18000000</v>
      </c>
      <c r="H24" s="154">
        <v>13084929</v>
      </c>
      <c r="I24" s="154">
        <v>0</v>
      </c>
      <c r="J24" s="154">
        <v>1202090</v>
      </c>
      <c r="K24" s="154">
        <v>1202090</v>
      </c>
      <c r="L24" s="154">
        <v>14287019</v>
      </c>
      <c r="M24" s="154">
        <v>3712981</v>
      </c>
      <c r="N24" s="154"/>
      <c r="O24" s="154">
        <v>0</v>
      </c>
      <c r="P24" s="154">
        <v>3712981</v>
      </c>
      <c r="Q24" s="154"/>
      <c r="R24" s="154"/>
      <c r="S24" s="154">
        <v>0</v>
      </c>
      <c r="T24" s="154">
        <v>0</v>
      </c>
      <c r="U24" s="154">
        <v>0</v>
      </c>
      <c r="V24" s="154">
        <v>0</v>
      </c>
      <c r="W24" s="154"/>
      <c r="X24" s="154"/>
      <c r="Y24" s="154"/>
      <c r="Z24" s="154"/>
      <c r="AA24" s="153"/>
      <c r="AB24" s="153" t="s">
        <v>534</v>
      </c>
      <c r="AC24" s="153">
        <v>742000</v>
      </c>
    </row>
    <row r="25" spans="1:35" ht="45" customHeight="1">
      <c r="A25" s="153">
        <f t="shared" si="0"/>
        <v>21</v>
      </c>
      <c r="B25" s="241">
        <v>1833</v>
      </c>
      <c r="C25" s="153" t="s">
        <v>108</v>
      </c>
      <c r="D25" s="154">
        <v>29000000</v>
      </c>
      <c r="E25" s="154">
        <v>29000000</v>
      </c>
      <c r="F25" s="154">
        <v>0</v>
      </c>
      <c r="G25" s="154">
        <v>29000000</v>
      </c>
      <c r="H25" s="154">
        <v>28872030</v>
      </c>
      <c r="I25" s="154">
        <v>0</v>
      </c>
      <c r="J25" s="154">
        <v>53980</v>
      </c>
      <c r="K25" s="154">
        <v>53980</v>
      </c>
      <c r="L25" s="154">
        <v>28926010</v>
      </c>
      <c r="M25" s="154">
        <v>73990</v>
      </c>
      <c r="N25" s="154"/>
      <c r="O25" s="154">
        <v>0</v>
      </c>
      <c r="P25" s="154">
        <v>73990</v>
      </c>
      <c r="Q25" s="154"/>
      <c r="R25" s="154"/>
      <c r="S25" s="154">
        <v>0</v>
      </c>
      <c r="T25" s="154">
        <v>0</v>
      </c>
      <c r="U25" s="154">
        <v>0</v>
      </c>
      <c r="V25" s="154">
        <v>0</v>
      </c>
      <c r="W25" s="154"/>
      <c r="X25" s="154"/>
      <c r="Y25" s="154"/>
      <c r="Z25" s="154"/>
      <c r="AA25" s="154">
        <v>0</v>
      </c>
      <c r="AB25" s="153" t="s">
        <v>1237</v>
      </c>
      <c r="AC25" s="153">
        <v>829000</v>
      </c>
    </row>
    <row r="26" spans="1:35" s="157" customFormat="1" ht="45" customHeight="1">
      <c r="A26" s="153">
        <f t="shared" si="0"/>
        <v>22</v>
      </c>
      <c r="B26" s="153">
        <v>1834</v>
      </c>
      <c r="C26" s="153" t="s">
        <v>102</v>
      </c>
      <c r="D26" s="300">
        <v>62000000</v>
      </c>
      <c r="E26" s="154">
        <v>60000000</v>
      </c>
      <c r="F26" s="154">
        <v>2000000</v>
      </c>
      <c r="G26" s="154">
        <v>50000000</v>
      </c>
      <c r="H26" s="154">
        <v>45562254</v>
      </c>
      <c r="I26" s="154">
        <v>0</v>
      </c>
      <c r="J26" s="154">
        <v>2314702</v>
      </c>
      <c r="K26" s="154">
        <v>2314702</v>
      </c>
      <c r="L26" s="154">
        <v>47876956</v>
      </c>
      <c r="M26" s="154">
        <v>9623044</v>
      </c>
      <c r="N26" s="154">
        <v>4500000</v>
      </c>
      <c r="O26" s="154">
        <v>0</v>
      </c>
      <c r="P26" s="154">
        <v>2123044</v>
      </c>
      <c r="Q26" s="438">
        <v>7500000</v>
      </c>
      <c r="R26" s="154"/>
      <c r="S26" s="154">
        <v>7500000</v>
      </c>
      <c r="T26" s="154">
        <v>0</v>
      </c>
      <c r="U26" s="154">
        <v>4500000</v>
      </c>
      <c r="V26" s="154">
        <v>0</v>
      </c>
      <c r="W26" s="154">
        <v>4500000</v>
      </c>
      <c r="X26" s="154"/>
      <c r="Y26" s="154"/>
      <c r="Z26" s="154"/>
      <c r="AA26" s="153"/>
      <c r="AB26" s="28" t="s">
        <v>907</v>
      </c>
      <c r="AC26" s="153">
        <v>824000</v>
      </c>
    </row>
    <row r="27" spans="1:35" s="157" customFormat="1" ht="45" customHeight="1">
      <c r="A27" s="153">
        <f t="shared" si="0"/>
        <v>23</v>
      </c>
      <c r="B27" s="153">
        <v>1835</v>
      </c>
      <c r="C27" s="153" t="s">
        <v>353</v>
      </c>
      <c r="D27" s="154">
        <v>51500000</v>
      </c>
      <c r="E27" s="154">
        <v>51500000</v>
      </c>
      <c r="F27" s="154">
        <v>0</v>
      </c>
      <c r="G27" s="154">
        <v>21900000</v>
      </c>
      <c r="H27" s="154">
        <v>13919300</v>
      </c>
      <c r="I27" s="154">
        <v>0</v>
      </c>
      <c r="J27" s="154">
        <v>2805422</v>
      </c>
      <c r="K27" s="154">
        <v>2805422</v>
      </c>
      <c r="L27" s="154">
        <v>16724722</v>
      </c>
      <c r="M27" s="154">
        <v>5175278</v>
      </c>
      <c r="N27" s="154">
        <v>0</v>
      </c>
      <c r="O27" s="154">
        <v>29600000</v>
      </c>
      <c r="P27" s="154">
        <v>5175278</v>
      </c>
      <c r="Q27" s="154">
        <v>0</v>
      </c>
      <c r="R27" s="154"/>
      <c r="S27" s="154">
        <v>0</v>
      </c>
      <c r="T27" s="154">
        <v>0</v>
      </c>
      <c r="U27" s="154">
        <v>0</v>
      </c>
      <c r="V27" s="154">
        <v>0</v>
      </c>
      <c r="W27" s="154"/>
      <c r="X27" s="154"/>
      <c r="Y27" s="154"/>
      <c r="Z27" s="154"/>
      <c r="AA27" s="153"/>
      <c r="AB27" s="3" t="s">
        <v>815</v>
      </c>
      <c r="AC27" s="153">
        <v>824000</v>
      </c>
    </row>
    <row r="28" spans="1:35" ht="45" customHeight="1">
      <c r="A28" s="153">
        <f t="shared" si="0"/>
        <v>24</v>
      </c>
      <c r="B28" s="241">
        <v>1845</v>
      </c>
      <c r="C28" s="153" t="s">
        <v>109</v>
      </c>
      <c r="D28" s="154">
        <v>6000000</v>
      </c>
      <c r="E28" s="154">
        <v>6000000</v>
      </c>
      <c r="F28" s="154">
        <v>0</v>
      </c>
      <c r="G28" s="154">
        <v>1940000</v>
      </c>
      <c r="H28" s="154">
        <v>1818447</v>
      </c>
      <c r="I28" s="154">
        <v>0</v>
      </c>
      <c r="J28" s="154">
        <v>76290</v>
      </c>
      <c r="K28" s="154">
        <v>76290</v>
      </c>
      <c r="L28" s="154">
        <v>1894737</v>
      </c>
      <c r="M28" s="154">
        <v>545263</v>
      </c>
      <c r="N28" s="154">
        <v>300000</v>
      </c>
      <c r="O28" s="154">
        <v>3260000</v>
      </c>
      <c r="P28" s="154">
        <v>45263</v>
      </c>
      <c r="Q28" s="438">
        <v>500000</v>
      </c>
      <c r="R28" s="154"/>
      <c r="S28" s="154">
        <v>500000</v>
      </c>
      <c r="T28" s="154">
        <v>0</v>
      </c>
      <c r="U28" s="154">
        <v>300000</v>
      </c>
      <c r="V28" s="154">
        <v>300000</v>
      </c>
      <c r="W28" s="154"/>
      <c r="X28" s="154"/>
      <c r="Y28" s="154"/>
      <c r="Z28" s="154"/>
      <c r="AA28" s="153"/>
      <c r="AB28" s="153" t="s">
        <v>620</v>
      </c>
      <c r="AC28" s="153">
        <v>742000</v>
      </c>
    </row>
    <row r="29" spans="1:35" ht="45" customHeight="1">
      <c r="A29" s="153">
        <f t="shared" si="0"/>
        <v>25</v>
      </c>
      <c r="B29" s="241">
        <v>1896</v>
      </c>
      <c r="C29" s="153" t="s">
        <v>354</v>
      </c>
      <c r="D29" s="154">
        <v>7800000</v>
      </c>
      <c r="E29" s="154">
        <v>7800000</v>
      </c>
      <c r="F29" s="154">
        <v>0</v>
      </c>
      <c r="G29" s="154">
        <v>7800000</v>
      </c>
      <c r="H29" s="154">
        <v>3154494</v>
      </c>
      <c r="I29" s="154">
        <v>0</v>
      </c>
      <c r="J29" s="154">
        <v>0</v>
      </c>
      <c r="K29" s="154">
        <v>0</v>
      </c>
      <c r="L29" s="154">
        <v>3154494</v>
      </c>
      <c r="M29" s="154">
        <v>4645506</v>
      </c>
      <c r="N29" s="154"/>
      <c r="O29" s="154">
        <v>0</v>
      </c>
      <c r="P29" s="154">
        <v>4645506</v>
      </c>
      <c r="Q29" s="154"/>
      <c r="R29" s="154"/>
      <c r="S29" s="154">
        <v>0</v>
      </c>
      <c r="T29" s="154">
        <v>0</v>
      </c>
      <c r="U29" s="154">
        <v>0</v>
      </c>
      <c r="V29" s="154">
        <v>0</v>
      </c>
      <c r="W29" s="154"/>
      <c r="X29" s="154"/>
      <c r="Y29" s="154"/>
      <c r="Z29" s="154"/>
      <c r="AA29" s="153"/>
      <c r="AB29" s="153" t="s">
        <v>1286</v>
      </c>
      <c r="AC29" s="153">
        <v>829000</v>
      </c>
    </row>
    <row r="30" spans="1:35" ht="45" customHeight="1">
      <c r="A30" s="153">
        <f t="shared" si="0"/>
        <v>26</v>
      </c>
      <c r="B30" s="241">
        <v>1921</v>
      </c>
      <c r="C30" s="153" t="s">
        <v>111</v>
      </c>
      <c r="D30" s="300">
        <v>29716000</v>
      </c>
      <c r="E30" s="154">
        <v>9716000</v>
      </c>
      <c r="F30" s="154">
        <v>20000000</v>
      </c>
      <c r="G30" s="154">
        <v>9716000</v>
      </c>
      <c r="H30" s="154">
        <v>9564142</v>
      </c>
      <c r="I30" s="154">
        <v>0</v>
      </c>
      <c r="J30" s="154">
        <v>60611</v>
      </c>
      <c r="K30" s="154">
        <v>60611</v>
      </c>
      <c r="L30" s="154">
        <v>9624753</v>
      </c>
      <c r="M30" s="154">
        <v>91247</v>
      </c>
      <c r="N30" s="154">
        <v>4000000</v>
      </c>
      <c r="O30" s="154">
        <v>16000000</v>
      </c>
      <c r="P30" s="154">
        <v>91247</v>
      </c>
      <c r="Q30" s="154"/>
      <c r="R30" s="154"/>
      <c r="S30" s="154">
        <v>0</v>
      </c>
      <c r="T30" s="154">
        <v>0</v>
      </c>
      <c r="U30" s="154">
        <v>4000000</v>
      </c>
      <c r="V30" s="154">
        <v>4000000</v>
      </c>
      <c r="W30" s="154"/>
      <c r="X30" s="154"/>
      <c r="Y30" s="154"/>
      <c r="Z30" s="154"/>
      <c r="AA30" s="153"/>
      <c r="AB30" s="240" t="s">
        <v>1287</v>
      </c>
      <c r="AC30" s="153">
        <v>829000</v>
      </c>
    </row>
    <row r="31" spans="1:35" ht="45" customHeight="1">
      <c r="A31" s="153">
        <f t="shared" si="0"/>
        <v>27</v>
      </c>
      <c r="B31" s="241">
        <v>1953</v>
      </c>
      <c r="C31" s="153" t="s">
        <v>355</v>
      </c>
      <c r="D31" s="154">
        <v>5300000</v>
      </c>
      <c r="E31" s="154">
        <v>5300000</v>
      </c>
      <c r="F31" s="154">
        <v>0</v>
      </c>
      <c r="G31" s="154">
        <v>5300000</v>
      </c>
      <c r="H31" s="154">
        <v>5259109</v>
      </c>
      <c r="I31" s="154">
        <v>0</v>
      </c>
      <c r="J31" s="154">
        <v>35571</v>
      </c>
      <c r="K31" s="154">
        <v>35571</v>
      </c>
      <c r="L31" s="154">
        <v>5294680</v>
      </c>
      <c r="M31" s="154">
        <v>5320</v>
      </c>
      <c r="N31" s="154">
        <v>0</v>
      </c>
      <c r="O31" s="154">
        <v>0</v>
      </c>
      <c r="P31" s="154">
        <v>5320</v>
      </c>
      <c r="Q31" s="154"/>
      <c r="R31" s="154"/>
      <c r="S31" s="154">
        <v>0</v>
      </c>
      <c r="T31" s="154">
        <v>0</v>
      </c>
      <c r="U31" s="154">
        <v>0</v>
      </c>
      <c r="V31" s="154">
        <v>0</v>
      </c>
      <c r="W31" s="154"/>
      <c r="X31" s="154"/>
      <c r="Y31" s="154"/>
      <c r="Z31" s="154"/>
      <c r="AA31" s="153"/>
      <c r="AB31" s="259" t="s">
        <v>1203</v>
      </c>
      <c r="AC31" s="153">
        <v>742000</v>
      </c>
    </row>
    <row r="32" spans="1:35" ht="45" customHeight="1">
      <c r="A32" s="153">
        <f t="shared" si="0"/>
        <v>28</v>
      </c>
      <c r="B32" s="241">
        <v>1957</v>
      </c>
      <c r="C32" s="153" t="s">
        <v>273</v>
      </c>
      <c r="D32" s="154">
        <v>60000000</v>
      </c>
      <c r="E32" s="154">
        <v>60000000</v>
      </c>
      <c r="F32" s="154">
        <v>0</v>
      </c>
      <c r="G32" s="154">
        <v>19026967</v>
      </c>
      <c r="H32" s="154">
        <v>4856729</v>
      </c>
      <c r="I32" s="154">
        <v>0</v>
      </c>
      <c r="J32" s="154">
        <v>1339476</v>
      </c>
      <c r="K32" s="154">
        <v>1339476</v>
      </c>
      <c r="L32" s="154">
        <v>6196205</v>
      </c>
      <c r="M32" s="154">
        <v>12830762</v>
      </c>
      <c r="N32" s="154">
        <v>17000000</v>
      </c>
      <c r="O32" s="154">
        <v>23973033</v>
      </c>
      <c r="P32" s="154">
        <v>12830762</v>
      </c>
      <c r="Q32" s="154">
        <v>0</v>
      </c>
      <c r="R32" s="154"/>
      <c r="S32" s="154">
        <v>0</v>
      </c>
      <c r="T32" s="154">
        <v>0</v>
      </c>
      <c r="U32" s="154">
        <v>17000000</v>
      </c>
      <c r="V32" s="154">
        <v>11851666</v>
      </c>
      <c r="W32" s="154"/>
      <c r="X32" s="154"/>
      <c r="Y32" s="154"/>
      <c r="Z32" s="154"/>
      <c r="AA32" s="154">
        <v>5148334</v>
      </c>
      <c r="AB32" s="153" t="s">
        <v>1196</v>
      </c>
      <c r="AC32" s="153">
        <v>810000</v>
      </c>
    </row>
    <row r="33" spans="1:35" ht="45" customHeight="1">
      <c r="A33" s="153">
        <f t="shared" si="0"/>
        <v>29</v>
      </c>
      <c r="B33" s="241">
        <v>1961</v>
      </c>
      <c r="C33" s="153" t="s">
        <v>128</v>
      </c>
      <c r="D33" s="154">
        <v>128000000</v>
      </c>
      <c r="E33" s="154">
        <v>128000000</v>
      </c>
      <c r="F33" s="154">
        <v>0</v>
      </c>
      <c r="G33" s="154">
        <v>500000</v>
      </c>
      <c r="H33" s="154">
        <v>0</v>
      </c>
      <c r="I33" s="154">
        <v>0</v>
      </c>
      <c r="J33" s="154">
        <v>0</v>
      </c>
      <c r="K33" s="154">
        <v>0</v>
      </c>
      <c r="L33" s="154">
        <v>0</v>
      </c>
      <c r="M33" s="154">
        <v>500000</v>
      </c>
      <c r="N33" s="154">
        <v>1000000</v>
      </c>
      <c r="O33" s="154">
        <v>126500000</v>
      </c>
      <c r="P33" s="154">
        <v>500000</v>
      </c>
      <c r="Q33" s="154"/>
      <c r="R33" s="154"/>
      <c r="S33" s="154">
        <v>0</v>
      </c>
      <c r="T33" s="154">
        <v>0</v>
      </c>
      <c r="U33" s="154">
        <v>1000000</v>
      </c>
      <c r="V33" s="154">
        <v>1000000</v>
      </c>
      <c r="W33" s="154"/>
      <c r="X33" s="154"/>
      <c r="Y33" s="154"/>
      <c r="Z33" s="154"/>
      <c r="AA33" s="153"/>
      <c r="AB33" s="273" t="s">
        <v>1288</v>
      </c>
      <c r="AC33" s="153">
        <v>742000</v>
      </c>
    </row>
    <row r="34" spans="1:35" customFormat="1" ht="45" customHeight="1">
      <c r="A34" s="153">
        <f t="shared" si="0"/>
        <v>30</v>
      </c>
      <c r="B34" s="3">
        <v>2001</v>
      </c>
      <c r="C34" s="3" t="s">
        <v>133</v>
      </c>
      <c r="D34" s="4">
        <v>18500000</v>
      </c>
      <c r="E34" s="4">
        <v>18500000</v>
      </c>
      <c r="F34" s="4">
        <v>0</v>
      </c>
      <c r="G34" s="4">
        <v>8398700</v>
      </c>
      <c r="H34" s="4">
        <v>592347</v>
      </c>
      <c r="I34" s="4">
        <v>7007029</v>
      </c>
      <c r="J34" s="4">
        <v>35009</v>
      </c>
      <c r="K34" s="4">
        <v>7042038</v>
      </c>
      <c r="L34" s="4">
        <v>7634385</v>
      </c>
      <c r="M34" s="4">
        <v>764315</v>
      </c>
      <c r="N34" s="4"/>
      <c r="O34" s="4">
        <v>10101300</v>
      </c>
      <c r="P34" s="4">
        <v>764315</v>
      </c>
      <c r="Q34" s="4"/>
      <c r="R34" s="4"/>
      <c r="S34" s="4">
        <v>0</v>
      </c>
      <c r="T34" s="4">
        <v>0</v>
      </c>
      <c r="U34" s="4">
        <v>0</v>
      </c>
      <c r="V34" s="4">
        <v>0</v>
      </c>
      <c r="W34" s="4"/>
      <c r="X34" s="4"/>
      <c r="Y34" s="4"/>
      <c r="Z34" s="4"/>
      <c r="AA34" s="4"/>
      <c r="AB34" s="3" t="s">
        <v>1289</v>
      </c>
      <c r="AC34" s="3">
        <v>810000</v>
      </c>
      <c r="AD34" s="157"/>
      <c r="AE34" s="157"/>
      <c r="AF34" s="157"/>
      <c r="AG34" s="157"/>
    </row>
    <row r="35" spans="1:35" s="162" customFormat="1" ht="45" customHeight="1">
      <c r="A35" s="153">
        <f t="shared" si="0"/>
        <v>31</v>
      </c>
      <c r="B35" s="153">
        <v>2002</v>
      </c>
      <c r="C35" s="153" t="s">
        <v>139</v>
      </c>
      <c r="D35" s="154">
        <v>1500000</v>
      </c>
      <c r="E35" s="154">
        <v>1500000</v>
      </c>
      <c r="F35" s="154">
        <v>0</v>
      </c>
      <c r="G35" s="154">
        <v>1500000</v>
      </c>
      <c r="H35" s="154">
        <v>1005668</v>
      </c>
      <c r="I35" s="154">
        <v>0</v>
      </c>
      <c r="J35" s="154">
        <v>116278</v>
      </c>
      <c r="K35" s="154">
        <v>116278</v>
      </c>
      <c r="L35" s="154">
        <v>1121946</v>
      </c>
      <c r="M35" s="154">
        <v>378054</v>
      </c>
      <c r="N35" s="154"/>
      <c r="O35" s="154">
        <v>0</v>
      </c>
      <c r="P35" s="154">
        <v>378054</v>
      </c>
      <c r="Q35" s="154"/>
      <c r="R35" s="154"/>
      <c r="S35" s="154">
        <v>0</v>
      </c>
      <c r="T35" s="154">
        <v>0</v>
      </c>
      <c r="U35" s="154">
        <v>0</v>
      </c>
      <c r="V35" s="154">
        <v>0</v>
      </c>
      <c r="W35" s="154"/>
      <c r="X35" s="154"/>
      <c r="Y35" s="154"/>
      <c r="Z35" s="154"/>
      <c r="AA35" s="153"/>
      <c r="AB35" s="153" t="s">
        <v>1290</v>
      </c>
      <c r="AC35" s="418">
        <v>742000</v>
      </c>
      <c r="AD35" s="157"/>
      <c r="AE35" s="157"/>
      <c r="AF35" s="157"/>
      <c r="AG35" s="157"/>
      <c r="AH35" s="157"/>
      <c r="AI35" s="157"/>
    </row>
    <row r="36" spans="1:35" s="162" customFormat="1" ht="45" customHeight="1">
      <c r="A36" s="153">
        <f t="shared" si="0"/>
        <v>32</v>
      </c>
      <c r="B36" s="153">
        <v>2008</v>
      </c>
      <c r="C36" s="153" t="s">
        <v>261</v>
      </c>
      <c r="D36" s="154">
        <v>2500000</v>
      </c>
      <c r="E36" s="154">
        <v>2500000</v>
      </c>
      <c r="F36" s="154">
        <v>0</v>
      </c>
      <c r="G36" s="154">
        <v>250000</v>
      </c>
      <c r="H36" s="154">
        <v>0</v>
      </c>
      <c r="I36" s="154">
        <v>0</v>
      </c>
      <c r="J36" s="154">
        <v>0</v>
      </c>
      <c r="K36" s="154">
        <v>0</v>
      </c>
      <c r="L36" s="154">
        <v>0</v>
      </c>
      <c r="M36" s="154">
        <v>0</v>
      </c>
      <c r="N36" s="154">
        <v>750000</v>
      </c>
      <c r="O36" s="154">
        <v>1750000</v>
      </c>
      <c r="P36" s="154">
        <v>250000</v>
      </c>
      <c r="Q36" s="154">
        <v>0</v>
      </c>
      <c r="R36" s="154"/>
      <c r="S36" s="154">
        <v>0</v>
      </c>
      <c r="T36" s="154">
        <v>250000</v>
      </c>
      <c r="U36" s="154">
        <v>500000</v>
      </c>
      <c r="V36" s="154">
        <v>500000</v>
      </c>
      <c r="W36" s="154"/>
      <c r="X36" s="154"/>
      <c r="Y36" s="154"/>
      <c r="Z36" s="154"/>
      <c r="AA36" s="153"/>
      <c r="AB36" s="341" t="s">
        <v>536</v>
      </c>
      <c r="AC36" s="153">
        <v>742000</v>
      </c>
      <c r="AD36" s="157"/>
      <c r="AE36" s="157"/>
      <c r="AF36" s="157"/>
      <c r="AG36" s="157"/>
      <c r="AH36" s="157"/>
      <c r="AI36" s="157"/>
    </row>
    <row r="37" spans="1:35" s="5" customFormat="1" ht="45" customHeight="1">
      <c r="A37" s="153">
        <f t="shared" si="0"/>
        <v>33</v>
      </c>
      <c r="B37" s="3">
        <v>2009</v>
      </c>
      <c r="C37" s="3" t="s">
        <v>227</v>
      </c>
      <c r="D37" s="4">
        <v>13700000</v>
      </c>
      <c r="E37" s="4">
        <v>13700000</v>
      </c>
      <c r="F37" s="4">
        <v>0</v>
      </c>
      <c r="G37" s="4">
        <v>2200000</v>
      </c>
      <c r="H37" s="4">
        <v>188934</v>
      </c>
      <c r="I37" s="4">
        <v>0</v>
      </c>
      <c r="J37" s="4">
        <v>15817</v>
      </c>
      <c r="K37" s="154">
        <v>15817</v>
      </c>
      <c r="L37" s="154">
        <v>204751</v>
      </c>
      <c r="M37" s="154">
        <v>995249</v>
      </c>
      <c r="N37" s="154">
        <v>3000000</v>
      </c>
      <c r="O37" s="4">
        <v>9500000</v>
      </c>
      <c r="P37" s="4">
        <v>1995249</v>
      </c>
      <c r="Q37" s="4">
        <v>0</v>
      </c>
      <c r="R37" s="4"/>
      <c r="S37" s="4">
        <v>0</v>
      </c>
      <c r="T37" s="4">
        <v>1000000</v>
      </c>
      <c r="U37" s="4">
        <v>2000000</v>
      </c>
      <c r="V37" s="4">
        <v>2000000</v>
      </c>
      <c r="W37" s="4"/>
      <c r="X37" s="4"/>
      <c r="Y37" s="4"/>
      <c r="Z37" s="4"/>
      <c r="AA37" s="3"/>
      <c r="AB37" s="3" t="s">
        <v>553</v>
      </c>
      <c r="AC37" s="3">
        <v>742000</v>
      </c>
      <c r="AD37" s="157"/>
      <c r="AE37" s="157"/>
      <c r="AF37" s="157"/>
      <c r="AG37" s="157"/>
      <c r="AH37" s="157"/>
      <c r="AI37" s="157"/>
    </row>
    <row r="38" spans="1:35" s="5" customFormat="1" ht="45" customHeight="1">
      <c r="A38" s="153">
        <f t="shared" si="0"/>
        <v>34</v>
      </c>
      <c r="B38" s="3">
        <v>2011</v>
      </c>
      <c r="C38" s="28" t="s">
        <v>669</v>
      </c>
      <c r="D38" s="4">
        <v>80000000</v>
      </c>
      <c r="E38" s="4">
        <v>80000000</v>
      </c>
      <c r="F38" s="154">
        <v>0</v>
      </c>
      <c r="G38" s="4">
        <v>22562673</v>
      </c>
      <c r="H38" s="4">
        <v>2947419</v>
      </c>
      <c r="I38" s="4">
        <v>0</v>
      </c>
      <c r="J38" s="4">
        <v>908853</v>
      </c>
      <c r="K38" s="154">
        <v>908853</v>
      </c>
      <c r="L38" s="154">
        <v>3856272</v>
      </c>
      <c r="M38" s="154">
        <v>26706401</v>
      </c>
      <c r="N38" s="154">
        <v>18000000</v>
      </c>
      <c r="O38" s="154">
        <v>31437327</v>
      </c>
      <c r="P38" s="154">
        <v>18706401</v>
      </c>
      <c r="Q38" s="438">
        <v>8000000</v>
      </c>
      <c r="R38" s="154"/>
      <c r="S38" s="154">
        <v>8000000</v>
      </c>
      <c r="T38" s="154">
        <v>0</v>
      </c>
      <c r="U38" s="154">
        <v>18000000</v>
      </c>
      <c r="V38" s="154">
        <v>18000000</v>
      </c>
      <c r="W38" s="154"/>
      <c r="X38" s="154"/>
      <c r="Y38" s="154"/>
      <c r="Z38" s="154"/>
      <c r="AA38" s="153"/>
      <c r="AB38" s="3" t="s">
        <v>622</v>
      </c>
      <c r="AC38" s="3">
        <v>742000</v>
      </c>
      <c r="AD38" s="157"/>
      <c r="AE38" s="157"/>
      <c r="AF38" s="157"/>
      <c r="AG38" s="157"/>
      <c r="AH38" s="157"/>
      <c r="AI38" s="157"/>
    </row>
    <row r="39" spans="1:35" s="162" customFormat="1" ht="45" customHeight="1">
      <c r="A39" s="153">
        <f t="shared" si="0"/>
        <v>35</v>
      </c>
      <c r="B39" s="153">
        <v>2015</v>
      </c>
      <c r="C39" s="259" t="s">
        <v>670</v>
      </c>
      <c r="D39" s="154">
        <v>54000000</v>
      </c>
      <c r="E39" s="154">
        <v>54000000</v>
      </c>
      <c r="F39" s="154">
        <v>0</v>
      </c>
      <c r="G39" s="154">
        <v>30500000</v>
      </c>
      <c r="H39" s="154">
        <v>8925747</v>
      </c>
      <c r="I39" s="154">
        <v>0</v>
      </c>
      <c r="J39" s="154">
        <v>448630</v>
      </c>
      <c r="K39" s="154">
        <v>448630</v>
      </c>
      <c r="L39" s="154">
        <v>9374377</v>
      </c>
      <c r="M39" s="154">
        <v>25359654</v>
      </c>
      <c r="N39" s="154">
        <v>11000000</v>
      </c>
      <c r="O39" s="154">
        <v>8265969</v>
      </c>
      <c r="P39" s="154">
        <v>21125623</v>
      </c>
      <c r="Q39" s="438">
        <v>4234031</v>
      </c>
      <c r="R39" s="154"/>
      <c r="S39" s="154">
        <v>4234031</v>
      </c>
      <c r="T39" s="154">
        <v>0</v>
      </c>
      <c r="U39" s="154">
        <v>11000000</v>
      </c>
      <c r="V39" s="154">
        <v>11000000</v>
      </c>
      <c r="W39" s="154"/>
      <c r="X39" s="154"/>
      <c r="Y39" s="154"/>
      <c r="Z39" s="154"/>
      <c r="AA39" s="154"/>
      <c r="AB39" s="153" t="s">
        <v>1238</v>
      </c>
      <c r="AC39" s="153">
        <v>810000</v>
      </c>
      <c r="AD39" s="157"/>
      <c r="AE39" s="157"/>
      <c r="AF39" s="157"/>
      <c r="AG39" s="157"/>
      <c r="AH39" s="157"/>
      <c r="AI39" s="157"/>
    </row>
    <row r="40" spans="1:35" ht="45" customHeight="1">
      <c r="A40" s="153">
        <f t="shared" si="0"/>
        <v>36</v>
      </c>
      <c r="B40" s="153">
        <v>2017</v>
      </c>
      <c r="C40" s="245" t="s">
        <v>671</v>
      </c>
      <c r="D40" s="154">
        <v>37100000</v>
      </c>
      <c r="E40" s="154">
        <v>37100000</v>
      </c>
      <c r="F40" s="154">
        <v>0</v>
      </c>
      <c r="G40" s="154">
        <v>5500000</v>
      </c>
      <c r="H40" s="154">
        <v>3211393</v>
      </c>
      <c r="I40" s="154">
        <v>0</v>
      </c>
      <c r="J40" s="154">
        <v>453666</v>
      </c>
      <c r="K40" s="154">
        <v>453666</v>
      </c>
      <c r="L40" s="154">
        <v>3665059</v>
      </c>
      <c r="M40" s="154">
        <v>6334941</v>
      </c>
      <c r="N40" s="154">
        <v>17100000</v>
      </c>
      <c r="O40" s="154">
        <v>10000000</v>
      </c>
      <c r="P40" s="154">
        <v>1834941</v>
      </c>
      <c r="Q40" s="438">
        <v>4500000</v>
      </c>
      <c r="R40" s="154"/>
      <c r="S40" s="154">
        <v>4500000</v>
      </c>
      <c r="T40" s="154">
        <v>0</v>
      </c>
      <c r="U40" s="154">
        <v>17100000</v>
      </c>
      <c r="V40" s="154">
        <v>17100000</v>
      </c>
      <c r="W40" s="154"/>
      <c r="X40" s="154"/>
      <c r="Y40" s="154"/>
      <c r="Z40" s="154"/>
      <c r="AA40" s="153"/>
      <c r="AB40" s="153" t="s">
        <v>537</v>
      </c>
      <c r="AC40" s="153">
        <v>824000</v>
      </c>
    </row>
    <row r="41" spans="1:35" ht="45" customHeight="1">
      <c r="A41" s="153">
        <f t="shared" si="0"/>
        <v>37</v>
      </c>
      <c r="B41" s="153">
        <v>2018</v>
      </c>
      <c r="C41" s="153" t="s">
        <v>274</v>
      </c>
      <c r="D41" s="154">
        <v>3600000</v>
      </c>
      <c r="E41" s="154">
        <v>6600000</v>
      </c>
      <c r="F41" s="154">
        <v>-3000000</v>
      </c>
      <c r="G41" s="154">
        <v>6600000</v>
      </c>
      <c r="H41" s="154">
        <v>2969399</v>
      </c>
      <c r="I41" s="154">
        <v>0</v>
      </c>
      <c r="J41" s="154">
        <v>167410</v>
      </c>
      <c r="K41" s="154">
        <v>167410</v>
      </c>
      <c r="L41" s="154">
        <v>3136809</v>
      </c>
      <c r="M41" s="154">
        <v>463191</v>
      </c>
      <c r="N41" s="154"/>
      <c r="O41" s="154">
        <v>0</v>
      </c>
      <c r="P41" s="154">
        <v>3463191</v>
      </c>
      <c r="Q41" s="154"/>
      <c r="R41" s="154"/>
      <c r="S41" s="154">
        <v>0</v>
      </c>
      <c r="T41" s="154">
        <v>3000000</v>
      </c>
      <c r="U41" s="154">
        <v>-3000000</v>
      </c>
      <c r="V41" s="154">
        <v>-3000000</v>
      </c>
      <c r="W41" s="154"/>
      <c r="X41" s="154"/>
      <c r="Y41" s="154"/>
      <c r="Z41" s="154"/>
      <c r="AA41" s="153"/>
      <c r="AB41" s="245" t="s">
        <v>459</v>
      </c>
      <c r="AC41" s="153">
        <v>742000</v>
      </c>
    </row>
    <row r="42" spans="1:35" s="157" customFormat="1" ht="45" customHeight="1">
      <c r="A42" s="153">
        <f t="shared" si="0"/>
        <v>38</v>
      </c>
      <c r="B42" s="153">
        <v>2022</v>
      </c>
      <c r="C42" s="153" t="s">
        <v>672</v>
      </c>
      <c r="D42" s="154">
        <v>14000000</v>
      </c>
      <c r="E42" s="154">
        <v>14000000</v>
      </c>
      <c r="F42" s="154">
        <v>0</v>
      </c>
      <c r="G42" s="154">
        <v>14000000</v>
      </c>
      <c r="H42" s="154">
        <v>9150426</v>
      </c>
      <c r="I42" s="154">
        <v>0</v>
      </c>
      <c r="J42" s="154">
        <v>278775</v>
      </c>
      <c r="K42" s="154">
        <v>278775</v>
      </c>
      <c r="L42" s="154">
        <v>9429201</v>
      </c>
      <c r="M42" s="154">
        <v>4570799</v>
      </c>
      <c r="N42" s="154"/>
      <c r="O42" s="154">
        <v>0</v>
      </c>
      <c r="P42" s="154">
        <v>4570799</v>
      </c>
      <c r="Q42" s="154"/>
      <c r="R42" s="154"/>
      <c r="S42" s="154">
        <v>0</v>
      </c>
      <c r="T42" s="154">
        <v>0</v>
      </c>
      <c r="U42" s="154">
        <v>0</v>
      </c>
      <c r="V42" s="154">
        <v>0</v>
      </c>
      <c r="W42" s="154"/>
      <c r="X42" s="154"/>
      <c r="Y42" s="154"/>
      <c r="Z42" s="154"/>
      <c r="AA42" s="153"/>
      <c r="AB42" s="153" t="s">
        <v>538</v>
      </c>
      <c r="AC42" s="153">
        <v>829000</v>
      </c>
    </row>
    <row r="43" spans="1:35" s="157" customFormat="1" ht="45" customHeight="1">
      <c r="A43" s="153">
        <f t="shared" si="0"/>
        <v>39</v>
      </c>
      <c r="B43" s="153">
        <v>2023</v>
      </c>
      <c r="C43" s="153" t="s">
        <v>908</v>
      </c>
      <c r="D43" s="154">
        <v>7340000</v>
      </c>
      <c r="E43" s="154">
        <v>7340000</v>
      </c>
      <c r="F43" s="154">
        <v>0</v>
      </c>
      <c r="G43" s="154">
        <v>230000</v>
      </c>
      <c r="H43" s="154">
        <v>228151</v>
      </c>
      <c r="I43" s="154">
        <v>0</v>
      </c>
      <c r="J43" s="154">
        <v>0</v>
      </c>
      <c r="K43" s="154">
        <v>0</v>
      </c>
      <c r="L43" s="154">
        <v>228151</v>
      </c>
      <c r="M43" s="154">
        <v>1849</v>
      </c>
      <c r="N43" s="154">
        <v>0</v>
      </c>
      <c r="O43" s="154">
        <v>7110000</v>
      </c>
      <c r="P43" s="154">
        <v>1849</v>
      </c>
      <c r="Q43" s="154"/>
      <c r="R43" s="154"/>
      <c r="S43" s="154">
        <v>0</v>
      </c>
      <c r="T43" s="154">
        <v>0</v>
      </c>
      <c r="U43" s="154">
        <v>0</v>
      </c>
      <c r="V43" s="154">
        <v>0</v>
      </c>
      <c r="W43" s="154"/>
      <c r="X43" s="154"/>
      <c r="Y43" s="154"/>
      <c r="Z43" s="154"/>
      <c r="AA43" s="154">
        <v>0</v>
      </c>
      <c r="AB43" s="153" t="s">
        <v>741</v>
      </c>
      <c r="AC43" s="153">
        <v>810000</v>
      </c>
    </row>
    <row r="44" spans="1:35" s="157" customFormat="1" ht="45" customHeight="1">
      <c r="A44" s="153">
        <f t="shared" si="0"/>
        <v>40</v>
      </c>
      <c r="B44" s="153">
        <v>2024</v>
      </c>
      <c r="C44" s="153" t="s">
        <v>275</v>
      </c>
      <c r="D44" s="154">
        <v>16300000</v>
      </c>
      <c r="E44" s="154">
        <v>16300000</v>
      </c>
      <c r="F44" s="154">
        <v>0</v>
      </c>
      <c r="G44" s="154">
        <v>16300000</v>
      </c>
      <c r="H44" s="154">
        <v>7471750</v>
      </c>
      <c r="I44" s="154">
        <v>0</v>
      </c>
      <c r="J44" s="154">
        <v>386721</v>
      </c>
      <c r="K44" s="154">
        <v>386721</v>
      </c>
      <c r="L44" s="154">
        <v>7858471</v>
      </c>
      <c r="M44" s="154">
        <v>8441529</v>
      </c>
      <c r="N44" s="154"/>
      <c r="O44" s="154">
        <v>0</v>
      </c>
      <c r="P44" s="154">
        <v>8441529</v>
      </c>
      <c r="Q44" s="154"/>
      <c r="R44" s="154"/>
      <c r="S44" s="154">
        <v>0</v>
      </c>
      <c r="T44" s="154">
        <v>0</v>
      </c>
      <c r="U44" s="154">
        <v>0</v>
      </c>
      <c r="V44" s="154">
        <v>0</v>
      </c>
      <c r="W44" s="154"/>
      <c r="X44" s="154"/>
      <c r="Y44" s="154"/>
      <c r="Z44" s="154"/>
      <c r="AA44" s="154"/>
      <c r="AB44" s="153" t="s">
        <v>1291</v>
      </c>
      <c r="AC44" s="153">
        <v>810000</v>
      </c>
    </row>
    <row r="45" spans="1:35" ht="45" customHeight="1">
      <c r="A45" s="153">
        <f t="shared" si="0"/>
        <v>41</v>
      </c>
      <c r="B45" s="241">
        <v>2064</v>
      </c>
      <c r="C45" s="153" t="s">
        <v>224</v>
      </c>
      <c r="D45" s="154">
        <v>2283705</v>
      </c>
      <c r="E45" s="154">
        <v>6281000</v>
      </c>
      <c r="F45" s="154">
        <v>-3997295</v>
      </c>
      <c r="G45" s="154">
        <v>2283705</v>
      </c>
      <c r="H45" s="154">
        <v>873639</v>
      </c>
      <c r="I45" s="154">
        <v>0</v>
      </c>
      <c r="J45" s="154">
        <v>84085</v>
      </c>
      <c r="K45" s="154">
        <v>84085</v>
      </c>
      <c r="L45" s="154">
        <v>957724</v>
      </c>
      <c r="M45" s="154">
        <v>1325981</v>
      </c>
      <c r="N45" s="154"/>
      <c r="O45" s="154">
        <v>0</v>
      </c>
      <c r="P45" s="154">
        <v>1325981</v>
      </c>
      <c r="Q45" s="154"/>
      <c r="R45" s="154"/>
      <c r="S45" s="154">
        <v>0</v>
      </c>
      <c r="T45" s="154">
        <v>0</v>
      </c>
      <c r="U45" s="154">
        <v>0</v>
      </c>
      <c r="V45" s="154">
        <v>0</v>
      </c>
      <c r="W45" s="154"/>
      <c r="X45" s="154"/>
      <c r="Y45" s="154"/>
      <c r="Z45" s="154"/>
      <c r="AA45" s="153"/>
      <c r="AB45" s="153" t="s">
        <v>350</v>
      </c>
      <c r="AC45" s="153">
        <v>829000</v>
      </c>
    </row>
    <row r="46" spans="1:35" ht="45" customHeight="1">
      <c r="A46" s="153">
        <f t="shared" si="0"/>
        <v>42</v>
      </c>
      <c r="B46" s="241">
        <v>2073</v>
      </c>
      <c r="C46" s="245" t="s">
        <v>673</v>
      </c>
      <c r="D46" s="154">
        <v>11350000</v>
      </c>
      <c r="E46" s="154">
        <v>11350000</v>
      </c>
      <c r="F46" s="154">
        <v>0</v>
      </c>
      <c r="G46" s="154">
        <v>1600000</v>
      </c>
      <c r="H46" s="154">
        <v>60797</v>
      </c>
      <c r="I46" s="154">
        <v>0</v>
      </c>
      <c r="J46" s="154">
        <v>124020</v>
      </c>
      <c r="K46" s="154">
        <v>124020</v>
      </c>
      <c r="L46" s="154">
        <v>184817</v>
      </c>
      <c r="M46" s="154">
        <v>1415183</v>
      </c>
      <c r="N46" s="154"/>
      <c r="O46" s="154">
        <v>9750000</v>
      </c>
      <c r="P46" s="154">
        <v>1415183</v>
      </c>
      <c r="Q46" s="154"/>
      <c r="R46" s="154"/>
      <c r="S46" s="154">
        <v>0</v>
      </c>
      <c r="T46" s="154">
        <v>0</v>
      </c>
      <c r="U46" s="154">
        <v>0</v>
      </c>
      <c r="V46" s="154">
        <v>0</v>
      </c>
      <c r="W46" s="154"/>
      <c r="X46" s="154"/>
      <c r="Y46" s="154"/>
      <c r="Z46" s="154"/>
      <c r="AA46" s="153"/>
      <c r="AB46" s="153" t="s">
        <v>1397</v>
      </c>
      <c r="AC46" s="153">
        <v>829000</v>
      </c>
    </row>
    <row r="47" spans="1:35" ht="45" customHeight="1">
      <c r="A47" s="153">
        <f t="shared" si="0"/>
        <v>43</v>
      </c>
      <c r="B47" s="241">
        <v>2076</v>
      </c>
      <c r="C47" s="153" t="s">
        <v>276</v>
      </c>
      <c r="D47" s="154">
        <v>2350000</v>
      </c>
      <c r="E47" s="154">
        <v>2350000</v>
      </c>
      <c r="F47" s="154">
        <v>0</v>
      </c>
      <c r="G47" s="154">
        <v>1450000</v>
      </c>
      <c r="H47" s="154">
        <v>52664</v>
      </c>
      <c r="I47" s="154">
        <v>0</v>
      </c>
      <c r="J47" s="154">
        <v>107004</v>
      </c>
      <c r="K47" s="154">
        <v>107004</v>
      </c>
      <c r="L47" s="154">
        <v>159668</v>
      </c>
      <c r="M47" s="154">
        <v>1290332</v>
      </c>
      <c r="N47" s="154">
        <v>900000</v>
      </c>
      <c r="O47" s="154">
        <v>0</v>
      </c>
      <c r="P47" s="154">
        <v>1290332</v>
      </c>
      <c r="Q47" s="154"/>
      <c r="R47" s="154"/>
      <c r="S47" s="154">
        <v>0</v>
      </c>
      <c r="T47" s="154">
        <v>0</v>
      </c>
      <c r="U47" s="154">
        <v>900000</v>
      </c>
      <c r="V47" s="154">
        <v>900000</v>
      </c>
      <c r="W47" s="154"/>
      <c r="X47" s="154"/>
      <c r="Y47" s="154"/>
      <c r="Z47" s="154"/>
      <c r="AA47" s="153"/>
      <c r="AB47" s="153" t="s">
        <v>316</v>
      </c>
      <c r="AC47" s="153">
        <v>850000</v>
      </c>
    </row>
    <row r="48" spans="1:35" s="5" customFormat="1" ht="45" customHeight="1">
      <c r="A48" s="153">
        <f t="shared" si="0"/>
        <v>44</v>
      </c>
      <c r="B48" s="3">
        <v>2078</v>
      </c>
      <c r="C48" s="3" t="s">
        <v>262</v>
      </c>
      <c r="D48" s="4">
        <v>2460000</v>
      </c>
      <c r="E48" s="4">
        <v>4200000</v>
      </c>
      <c r="F48" s="154">
        <v>-1740000</v>
      </c>
      <c r="G48" s="4">
        <v>1960000</v>
      </c>
      <c r="H48" s="4">
        <v>184645</v>
      </c>
      <c r="I48" s="4">
        <v>0</v>
      </c>
      <c r="J48" s="4">
        <v>103805</v>
      </c>
      <c r="K48" s="154">
        <v>103805</v>
      </c>
      <c r="L48" s="154">
        <v>288450</v>
      </c>
      <c r="M48" s="154">
        <v>1671550</v>
      </c>
      <c r="N48" s="154">
        <v>500000</v>
      </c>
      <c r="O48" s="154">
        <v>0</v>
      </c>
      <c r="P48" s="154">
        <v>1671550</v>
      </c>
      <c r="Q48" s="154"/>
      <c r="R48" s="154"/>
      <c r="S48" s="154">
        <v>0</v>
      </c>
      <c r="T48" s="154">
        <v>0</v>
      </c>
      <c r="U48" s="154">
        <v>500000</v>
      </c>
      <c r="V48" s="154">
        <v>500000</v>
      </c>
      <c r="W48" s="154"/>
      <c r="X48" s="154"/>
      <c r="Y48" s="154"/>
      <c r="Z48" s="154"/>
      <c r="AA48" s="153"/>
      <c r="AB48" s="3" t="s">
        <v>348</v>
      </c>
      <c r="AC48" s="3">
        <v>742000</v>
      </c>
      <c r="AD48" s="157"/>
      <c r="AE48" s="157"/>
      <c r="AF48" s="157"/>
      <c r="AG48" s="157"/>
      <c r="AH48" s="157"/>
      <c r="AI48" s="157"/>
    </row>
    <row r="49" spans="1:35" ht="45" customHeight="1">
      <c r="A49" s="153">
        <f t="shared" si="0"/>
        <v>45</v>
      </c>
      <c r="B49" s="28">
        <v>2079</v>
      </c>
      <c r="C49" s="153" t="s">
        <v>277</v>
      </c>
      <c r="D49" s="154">
        <v>3100000</v>
      </c>
      <c r="E49" s="154">
        <v>3100000</v>
      </c>
      <c r="F49" s="154">
        <v>0</v>
      </c>
      <c r="G49" s="154">
        <v>3100000</v>
      </c>
      <c r="H49" s="154">
        <v>3060457</v>
      </c>
      <c r="I49" s="154">
        <v>0</v>
      </c>
      <c r="J49" s="154">
        <v>25792</v>
      </c>
      <c r="K49" s="154">
        <v>25792</v>
      </c>
      <c r="L49" s="154">
        <v>3086249</v>
      </c>
      <c r="M49" s="154">
        <v>13751</v>
      </c>
      <c r="N49" s="154"/>
      <c r="O49" s="154">
        <v>0</v>
      </c>
      <c r="P49" s="154">
        <v>13751</v>
      </c>
      <c r="Q49" s="154"/>
      <c r="R49" s="154"/>
      <c r="S49" s="154">
        <v>0</v>
      </c>
      <c r="T49" s="154">
        <v>0</v>
      </c>
      <c r="U49" s="154">
        <v>0</v>
      </c>
      <c r="V49" s="154">
        <v>0</v>
      </c>
      <c r="W49" s="154"/>
      <c r="X49" s="154"/>
      <c r="Y49" s="154"/>
      <c r="Z49" s="154"/>
      <c r="AA49" s="153"/>
      <c r="AB49" s="242" t="s">
        <v>1292</v>
      </c>
      <c r="AC49" s="153">
        <v>840000</v>
      </c>
    </row>
    <row r="50" spans="1:35" ht="45" customHeight="1">
      <c r="A50" s="153">
        <f t="shared" si="0"/>
        <v>46</v>
      </c>
      <c r="B50" s="28">
        <v>2097</v>
      </c>
      <c r="C50" s="153" t="s">
        <v>278</v>
      </c>
      <c r="D50" s="154">
        <v>79000000</v>
      </c>
      <c r="E50" s="154">
        <v>79000000</v>
      </c>
      <c r="F50" s="154">
        <v>0</v>
      </c>
      <c r="G50" s="154">
        <v>24119617</v>
      </c>
      <c r="H50" s="154">
        <v>2556093</v>
      </c>
      <c r="I50" s="154">
        <v>0</v>
      </c>
      <c r="J50" s="154">
        <v>2102476</v>
      </c>
      <c r="K50" s="154">
        <v>2102476</v>
      </c>
      <c r="L50" s="154">
        <v>4658569</v>
      </c>
      <c r="M50" s="154">
        <v>19461048</v>
      </c>
      <c r="N50" s="154">
        <v>17000000</v>
      </c>
      <c r="O50" s="154">
        <v>37880383</v>
      </c>
      <c r="P50" s="154">
        <v>19461048</v>
      </c>
      <c r="Q50" s="154"/>
      <c r="R50" s="154"/>
      <c r="S50" s="154">
        <v>0</v>
      </c>
      <c r="T50" s="154">
        <v>0</v>
      </c>
      <c r="U50" s="154">
        <v>17000000</v>
      </c>
      <c r="V50" s="154">
        <v>14147298</v>
      </c>
      <c r="W50" s="154"/>
      <c r="X50" s="154"/>
      <c r="Y50" s="154"/>
      <c r="Z50" s="154"/>
      <c r="AA50" s="154">
        <v>2852702</v>
      </c>
      <c r="AB50" s="245" t="s">
        <v>1193</v>
      </c>
      <c r="AC50" s="153">
        <v>810000</v>
      </c>
    </row>
    <row r="51" spans="1:35" ht="45" customHeight="1">
      <c r="A51" s="153">
        <f t="shared" si="0"/>
        <v>47</v>
      </c>
      <c r="B51" s="28">
        <v>2099</v>
      </c>
      <c r="C51" s="153" t="s">
        <v>279</v>
      </c>
      <c r="D51" s="300">
        <v>17650000</v>
      </c>
      <c r="E51" s="154">
        <v>12000000</v>
      </c>
      <c r="F51" s="154">
        <v>5650000</v>
      </c>
      <c r="G51" s="154">
        <v>6250000</v>
      </c>
      <c r="H51" s="154">
        <v>789900</v>
      </c>
      <c r="I51" s="154">
        <v>0</v>
      </c>
      <c r="J51" s="154">
        <v>461045</v>
      </c>
      <c r="K51" s="154">
        <v>461045</v>
      </c>
      <c r="L51" s="154">
        <v>1250945</v>
      </c>
      <c r="M51" s="154">
        <v>9749055</v>
      </c>
      <c r="N51" s="154">
        <v>5500000</v>
      </c>
      <c r="O51" s="154">
        <v>1150000</v>
      </c>
      <c r="P51" s="154">
        <v>4999055</v>
      </c>
      <c r="Q51" s="438">
        <v>4750000</v>
      </c>
      <c r="R51" s="154"/>
      <c r="S51" s="154">
        <v>4750000</v>
      </c>
      <c r="T51" s="154">
        <v>0</v>
      </c>
      <c r="U51" s="154">
        <v>5500000</v>
      </c>
      <c r="V51" s="154">
        <v>5500000</v>
      </c>
      <c r="W51" s="154"/>
      <c r="X51" s="154"/>
      <c r="Y51" s="154"/>
      <c r="Z51" s="154"/>
      <c r="AA51" s="154"/>
      <c r="AB51" s="259" t="s">
        <v>651</v>
      </c>
      <c r="AC51" s="153">
        <v>826000</v>
      </c>
    </row>
    <row r="52" spans="1:35" ht="45" customHeight="1">
      <c r="A52" s="153">
        <f t="shared" si="0"/>
        <v>48</v>
      </c>
      <c r="B52" s="28">
        <v>2101</v>
      </c>
      <c r="C52" s="153" t="s">
        <v>495</v>
      </c>
      <c r="D52" s="154">
        <v>24200000</v>
      </c>
      <c r="E52" s="154">
        <v>24200000</v>
      </c>
      <c r="F52" s="154">
        <v>0</v>
      </c>
      <c r="G52" s="154">
        <v>1500000</v>
      </c>
      <c r="H52" s="154">
        <v>389319</v>
      </c>
      <c r="I52" s="154">
        <v>0</v>
      </c>
      <c r="J52" s="154">
        <v>121642</v>
      </c>
      <c r="K52" s="154">
        <v>121642</v>
      </c>
      <c r="L52" s="154">
        <v>510961</v>
      </c>
      <c r="M52" s="154">
        <v>989039</v>
      </c>
      <c r="N52" s="154">
        <v>6000000</v>
      </c>
      <c r="O52" s="154">
        <v>16700000</v>
      </c>
      <c r="P52" s="154">
        <v>989039</v>
      </c>
      <c r="Q52" s="154"/>
      <c r="R52" s="154"/>
      <c r="S52" s="154">
        <v>0</v>
      </c>
      <c r="T52" s="154">
        <v>0</v>
      </c>
      <c r="U52" s="154">
        <v>6000000</v>
      </c>
      <c r="V52" s="154">
        <v>2300000</v>
      </c>
      <c r="W52" s="154"/>
      <c r="X52" s="154"/>
      <c r="Y52" s="154"/>
      <c r="Z52" s="154"/>
      <c r="AA52" s="154">
        <v>3700000</v>
      </c>
      <c r="AB52" s="259" t="s">
        <v>1293</v>
      </c>
      <c r="AC52" s="153">
        <v>840000</v>
      </c>
    </row>
    <row r="53" spans="1:35" ht="45" customHeight="1">
      <c r="A53" s="153">
        <f t="shared" si="0"/>
        <v>49</v>
      </c>
      <c r="B53" s="28">
        <v>2103</v>
      </c>
      <c r="C53" s="153" t="s">
        <v>315</v>
      </c>
      <c r="D53" s="154">
        <v>4200000</v>
      </c>
      <c r="E53" s="154">
        <v>4200000</v>
      </c>
      <c r="F53" s="154">
        <v>0</v>
      </c>
      <c r="G53" s="154">
        <v>1000000</v>
      </c>
      <c r="H53" s="154">
        <v>369063</v>
      </c>
      <c r="I53" s="154">
        <v>0</v>
      </c>
      <c r="J53" s="154">
        <v>481501</v>
      </c>
      <c r="K53" s="154">
        <v>481501</v>
      </c>
      <c r="L53" s="154">
        <v>850564</v>
      </c>
      <c r="M53" s="154">
        <v>149436</v>
      </c>
      <c r="N53" s="154">
        <v>700000</v>
      </c>
      <c r="O53" s="154">
        <v>2500000</v>
      </c>
      <c r="P53" s="154">
        <v>149436</v>
      </c>
      <c r="Q53" s="154">
        <v>0</v>
      </c>
      <c r="R53" s="154"/>
      <c r="S53" s="154">
        <v>0</v>
      </c>
      <c r="T53" s="154">
        <v>0</v>
      </c>
      <c r="U53" s="154">
        <v>700000</v>
      </c>
      <c r="V53" s="154">
        <v>700000</v>
      </c>
      <c r="W53" s="154"/>
      <c r="X53" s="154"/>
      <c r="Y53" s="154"/>
      <c r="Z53" s="154"/>
      <c r="AA53" s="153"/>
      <c r="AB53" s="245" t="s">
        <v>742</v>
      </c>
      <c r="AC53" s="153">
        <v>848000</v>
      </c>
    </row>
    <row r="54" spans="1:35" s="6" customFormat="1" ht="45" customHeight="1">
      <c r="A54" s="153">
        <f t="shared" si="0"/>
        <v>50</v>
      </c>
      <c r="B54" s="28">
        <v>2106</v>
      </c>
      <c r="C54" s="3" t="s">
        <v>390</v>
      </c>
      <c r="D54" s="4">
        <v>15000000</v>
      </c>
      <c r="E54" s="4">
        <v>15000000</v>
      </c>
      <c r="F54" s="154">
        <v>0</v>
      </c>
      <c r="G54" s="4">
        <v>4000000</v>
      </c>
      <c r="H54" s="4">
        <v>353313</v>
      </c>
      <c r="I54" s="4">
        <v>0</v>
      </c>
      <c r="J54" s="4">
        <v>416787</v>
      </c>
      <c r="K54" s="154">
        <v>416787</v>
      </c>
      <c r="L54" s="154">
        <v>770100</v>
      </c>
      <c r="M54" s="154">
        <v>3229900</v>
      </c>
      <c r="N54" s="154">
        <v>500000</v>
      </c>
      <c r="O54" s="154">
        <v>10500000</v>
      </c>
      <c r="P54" s="154">
        <v>3229900</v>
      </c>
      <c r="Q54" s="154"/>
      <c r="R54" s="154"/>
      <c r="S54" s="154">
        <v>0</v>
      </c>
      <c r="T54" s="154">
        <v>0</v>
      </c>
      <c r="U54" s="154">
        <v>500000</v>
      </c>
      <c r="V54" s="154">
        <v>500000</v>
      </c>
      <c r="W54" s="154"/>
      <c r="X54" s="154"/>
      <c r="Y54" s="154"/>
      <c r="Z54" s="154"/>
      <c r="AA54" s="153"/>
      <c r="AB54" s="245" t="s">
        <v>602</v>
      </c>
      <c r="AC54" s="3">
        <v>742000</v>
      </c>
      <c r="AD54" s="157"/>
      <c r="AE54" s="157"/>
      <c r="AF54" s="157"/>
      <c r="AG54" s="157"/>
      <c r="AH54" s="157"/>
      <c r="AI54" s="157"/>
    </row>
    <row r="55" spans="1:35" s="5" customFormat="1" ht="45" customHeight="1">
      <c r="A55" s="153">
        <f t="shared" si="0"/>
        <v>51</v>
      </c>
      <c r="B55" s="28">
        <v>2109</v>
      </c>
      <c r="C55" s="3" t="s">
        <v>263</v>
      </c>
      <c r="D55" s="4">
        <v>2000000</v>
      </c>
      <c r="E55" s="4">
        <v>2000000</v>
      </c>
      <c r="F55" s="154">
        <v>0</v>
      </c>
      <c r="G55" s="4">
        <v>500000</v>
      </c>
      <c r="H55" s="4">
        <v>128792</v>
      </c>
      <c r="I55" s="4">
        <v>0</v>
      </c>
      <c r="J55" s="4">
        <v>119250</v>
      </c>
      <c r="K55" s="154">
        <v>119250</v>
      </c>
      <c r="L55" s="154">
        <v>248042</v>
      </c>
      <c r="M55" s="154">
        <v>601958</v>
      </c>
      <c r="N55" s="154">
        <v>0</v>
      </c>
      <c r="O55" s="154">
        <v>1150000</v>
      </c>
      <c r="P55" s="154">
        <v>251958</v>
      </c>
      <c r="Q55" s="438">
        <v>350000</v>
      </c>
      <c r="R55" s="154"/>
      <c r="S55" s="154">
        <v>350000</v>
      </c>
      <c r="T55" s="154">
        <v>0</v>
      </c>
      <c r="U55" s="154">
        <v>0</v>
      </c>
      <c r="V55" s="154">
        <v>0</v>
      </c>
      <c r="W55" s="154"/>
      <c r="X55" s="154"/>
      <c r="Y55" s="154"/>
      <c r="Z55" s="154"/>
      <c r="AA55" s="153"/>
      <c r="AB55" s="3" t="s">
        <v>623</v>
      </c>
      <c r="AC55" s="3">
        <v>742000</v>
      </c>
      <c r="AD55" s="157"/>
      <c r="AE55" s="157"/>
      <c r="AF55" s="157"/>
      <c r="AG55" s="157"/>
      <c r="AH55" s="157"/>
      <c r="AI55" s="157"/>
    </row>
    <row r="56" spans="1:35" s="5" customFormat="1" ht="45" customHeight="1">
      <c r="A56" s="153">
        <f t="shared" si="0"/>
        <v>52</v>
      </c>
      <c r="B56" s="28">
        <v>2110</v>
      </c>
      <c r="C56" s="3" t="s">
        <v>264</v>
      </c>
      <c r="D56" s="4">
        <v>16000000</v>
      </c>
      <c r="E56" s="4">
        <v>16000000</v>
      </c>
      <c r="F56" s="154">
        <v>0</v>
      </c>
      <c r="G56" s="4">
        <v>200000</v>
      </c>
      <c r="H56" s="4">
        <v>0</v>
      </c>
      <c r="I56" s="4">
        <v>0</v>
      </c>
      <c r="J56" s="4">
        <v>0</v>
      </c>
      <c r="K56" s="154">
        <v>0</v>
      </c>
      <c r="L56" s="154">
        <v>0</v>
      </c>
      <c r="M56" s="154">
        <v>50000</v>
      </c>
      <c r="N56" s="154">
        <v>0</v>
      </c>
      <c r="O56" s="154">
        <v>15950000</v>
      </c>
      <c r="P56" s="154">
        <v>200000</v>
      </c>
      <c r="Q56" s="154"/>
      <c r="R56" s="154"/>
      <c r="S56" s="154">
        <v>0</v>
      </c>
      <c r="T56" s="154">
        <v>150000</v>
      </c>
      <c r="U56" s="154">
        <v>-150000</v>
      </c>
      <c r="V56" s="154">
        <v>-150000</v>
      </c>
      <c r="W56" s="154"/>
      <c r="X56" s="154"/>
      <c r="Y56" s="154"/>
      <c r="Z56" s="154"/>
      <c r="AA56" s="153"/>
      <c r="AB56" s="3" t="s">
        <v>652</v>
      </c>
      <c r="AC56" s="3">
        <v>742000</v>
      </c>
      <c r="AD56" s="157"/>
      <c r="AE56" s="157"/>
      <c r="AF56" s="157"/>
      <c r="AG56" s="157"/>
      <c r="AH56" s="157"/>
      <c r="AI56" s="157"/>
    </row>
    <row r="57" spans="1:35" s="5" customFormat="1" ht="45" customHeight="1">
      <c r="A57" s="153">
        <f t="shared" si="0"/>
        <v>53</v>
      </c>
      <c r="B57" s="28">
        <v>2111</v>
      </c>
      <c r="C57" s="3" t="s">
        <v>265</v>
      </c>
      <c r="D57" s="4">
        <v>15200000</v>
      </c>
      <c r="E57" s="4">
        <v>15200000</v>
      </c>
      <c r="F57" s="154">
        <v>0</v>
      </c>
      <c r="G57" s="4">
        <v>200000</v>
      </c>
      <c r="H57" s="4">
        <v>0</v>
      </c>
      <c r="I57" s="4">
        <v>0</v>
      </c>
      <c r="J57" s="4">
        <v>0</v>
      </c>
      <c r="K57" s="154">
        <v>0</v>
      </c>
      <c r="L57" s="154">
        <v>0</v>
      </c>
      <c r="M57" s="154">
        <v>100000</v>
      </c>
      <c r="N57" s="154">
        <v>0</v>
      </c>
      <c r="O57" s="154">
        <v>15100000</v>
      </c>
      <c r="P57" s="154">
        <v>200000</v>
      </c>
      <c r="Q57" s="154">
        <v>0</v>
      </c>
      <c r="R57" s="154"/>
      <c r="S57" s="154">
        <v>0</v>
      </c>
      <c r="T57" s="154">
        <v>100000</v>
      </c>
      <c r="U57" s="154">
        <v>-100000</v>
      </c>
      <c r="V57" s="154">
        <v>-100000</v>
      </c>
      <c r="W57" s="154"/>
      <c r="X57" s="154"/>
      <c r="Y57" s="154"/>
      <c r="Z57" s="154"/>
      <c r="AA57" s="153"/>
      <c r="AB57" s="232" t="s">
        <v>603</v>
      </c>
      <c r="AC57" s="3">
        <v>742000</v>
      </c>
      <c r="AD57" s="157"/>
      <c r="AE57" s="157"/>
      <c r="AF57" s="157"/>
      <c r="AG57" s="157"/>
      <c r="AH57" s="157"/>
      <c r="AI57" s="157"/>
    </row>
    <row r="58" spans="1:35" s="6" customFormat="1" ht="45" customHeight="1">
      <c r="A58" s="153">
        <f t="shared" si="0"/>
        <v>54</v>
      </c>
      <c r="B58" s="28">
        <v>2115</v>
      </c>
      <c r="C58" s="3" t="s">
        <v>267</v>
      </c>
      <c r="D58" s="4">
        <v>3100000</v>
      </c>
      <c r="E58" s="4">
        <v>3100000</v>
      </c>
      <c r="F58" s="154">
        <v>0</v>
      </c>
      <c r="G58" s="4">
        <v>3100000</v>
      </c>
      <c r="H58" s="4">
        <v>1758075</v>
      </c>
      <c r="I58" s="4">
        <v>0</v>
      </c>
      <c r="J58" s="4">
        <v>4000</v>
      </c>
      <c r="K58" s="154">
        <v>4000</v>
      </c>
      <c r="L58" s="154">
        <v>1762075</v>
      </c>
      <c r="M58" s="154">
        <v>537925</v>
      </c>
      <c r="N58" s="154"/>
      <c r="O58" s="154">
        <v>800000</v>
      </c>
      <c r="P58" s="154">
        <v>1337925</v>
      </c>
      <c r="Q58" s="154"/>
      <c r="R58" s="154"/>
      <c r="S58" s="154">
        <v>0</v>
      </c>
      <c r="T58" s="154">
        <v>800000</v>
      </c>
      <c r="U58" s="154">
        <v>-800000</v>
      </c>
      <c r="V58" s="154">
        <v>-800000</v>
      </c>
      <c r="W58" s="154"/>
      <c r="X58" s="154"/>
      <c r="Y58" s="154"/>
      <c r="Z58" s="154"/>
      <c r="AA58" s="153"/>
      <c r="AB58" s="3" t="s">
        <v>743</v>
      </c>
      <c r="AC58" s="3">
        <v>732000</v>
      </c>
      <c r="AD58" s="157"/>
      <c r="AE58" s="157"/>
      <c r="AF58" s="157"/>
      <c r="AG58" s="157"/>
      <c r="AH58" s="157"/>
      <c r="AI58" s="157"/>
    </row>
    <row r="59" spans="1:35" s="6" customFormat="1" ht="45" customHeight="1">
      <c r="A59" s="153">
        <f t="shared" si="0"/>
        <v>55</v>
      </c>
      <c r="B59" s="28">
        <v>2118</v>
      </c>
      <c r="C59" s="3" t="s">
        <v>268</v>
      </c>
      <c r="D59" s="4">
        <v>2600000</v>
      </c>
      <c r="E59" s="4">
        <v>2600000</v>
      </c>
      <c r="F59" s="154">
        <v>0</v>
      </c>
      <c r="G59" s="4">
        <v>2600000</v>
      </c>
      <c r="H59" s="4">
        <v>2049405</v>
      </c>
      <c r="I59" s="4">
        <v>0</v>
      </c>
      <c r="J59" s="4">
        <v>96981</v>
      </c>
      <c r="K59" s="154">
        <v>96981</v>
      </c>
      <c r="L59" s="154">
        <v>2146386</v>
      </c>
      <c r="M59" s="154">
        <v>453614</v>
      </c>
      <c r="N59" s="154"/>
      <c r="O59" s="154">
        <v>0</v>
      </c>
      <c r="P59" s="154">
        <v>453614</v>
      </c>
      <c r="Q59" s="154"/>
      <c r="R59" s="154"/>
      <c r="S59" s="154">
        <v>0</v>
      </c>
      <c r="T59" s="154">
        <v>0</v>
      </c>
      <c r="U59" s="154">
        <v>0</v>
      </c>
      <c r="V59" s="154">
        <v>0</v>
      </c>
      <c r="W59" s="154"/>
      <c r="X59" s="154"/>
      <c r="Y59" s="154"/>
      <c r="Z59" s="154"/>
      <c r="AA59" s="153"/>
      <c r="AB59" s="233" t="s">
        <v>539</v>
      </c>
      <c r="AC59" s="3">
        <v>746000</v>
      </c>
      <c r="AD59" s="157"/>
      <c r="AE59" s="157"/>
      <c r="AF59" s="157"/>
      <c r="AG59" s="157"/>
      <c r="AH59" s="157"/>
      <c r="AI59" s="157"/>
    </row>
    <row r="60" spans="1:35" s="5" customFormat="1" ht="45" customHeight="1">
      <c r="A60" s="153">
        <f t="shared" si="0"/>
        <v>56</v>
      </c>
      <c r="B60" s="28">
        <v>2119</v>
      </c>
      <c r="C60" s="3" t="s">
        <v>269</v>
      </c>
      <c r="D60" s="4">
        <v>3900000</v>
      </c>
      <c r="E60" s="4">
        <v>3900000</v>
      </c>
      <c r="F60" s="154">
        <v>0</v>
      </c>
      <c r="G60" s="4">
        <v>1100000</v>
      </c>
      <c r="H60" s="4">
        <v>194788</v>
      </c>
      <c r="I60" s="4">
        <v>0</v>
      </c>
      <c r="J60" s="4">
        <v>71106</v>
      </c>
      <c r="K60" s="154">
        <v>71106</v>
      </c>
      <c r="L60" s="154">
        <v>265894</v>
      </c>
      <c r="M60" s="154">
        <v>3634106</v>
      </c>
      <c r="N60" s="154"/>
      <c r="O60" s="154">
        <v>0</v>
      </c>
      <c r="P60" s="154">
        <v>834106</v>
      </c>
      <c r="Q60" s="154"/>
      <c r="R60" s="438">
        <v>2800000</v>
      </c>
      <c r="S60" s="154">
        <v>2800000</v>
      </c>
      <c r="T60" s="154">
        <v>0</v>
      </c>
      <c r="U60" s="154">
        <v>0</v>
      </c>
      <c r="V60" s="154">
        <v>0</v>
      </c>
      <c r="W60" s="154"/>
      <c r="X60" s="154"/>
      <c r="Y60" s="154"/>
      <c r="Z60" s="154"/>
      <c r="AA60" s="153"/>
      <c r="AB60" s="3" t="s">
        <v>270</v>
      </c>
      <c r="AC60" s="3">
        <v>742000</v>
      </c>
      <c r="AD60" s="157"/>
      <c r="AE60" s="157"/>
      <c r="AF60" s="157"/>
      <c r="AG60" s="157"/>
      <c r="AH60" s="157"/>
      <c r="AI60" s="157"/>
    </row>
    <row r="61" spans="1:35" s="5" customFormat="1" ht="45" customHeight="1">
      <c r="A61" s="153">
        <f t="shared" si="0"/>
        <v>57</v>
      </c>
      <c r="B61" s="28">
        <v>2126</v>
      </c>
      <c r="C61" s="3" t="s">
        <v>405</v>
      </c>
      <c r="D61" s="4">
        <v>1975000</v>
      </c>
      <c r="E61" s="4">
        <v>1975000</v>
      </c>
      <c r="F61" s="154">
        <v>0</v>
      </c>
      <c r="G61" s="4">
        <v>0</v>
      </c>
      <c r="H61" s="4">
        <v>0</v>
      </c>
      <c r="I61" s="4">
        <v>0</v>
      </c>
      <c r="J61" s="4">
        <v>0</v>
      </c>
      <c r="K61" s="154">
        <v>0</v>
      </c>
      <c r="L61" s="154">
        <v>0</v>
      </c>
      <c r="M61" s="154">
        <v>0</v>
      </c>
      <c r="N61" s="154"/>
      <c r="O61" s="154">
        <v>1975000</v>
      </c>
      <c r="P61" s="154">
        <v>0</v>
      </c>
      <c r="Q61" s="154"/>
      <c r="R61" s="154"/>
      <c r="S61" s="154">
        <v>0</v>
      </c>
      <c r="T61" s="154">
        <v>0</v>
      </c>
      <c r="U61" s="154">
        <v>0</v>
      </c>
      <c r="V61" s="154">
        <v>0</v>
      </c>
      <c r="W61" s="154"/>
      <c r="X61" s="154"/>
      <c r="Y61" s="154"/>
      <c r="Z61" s="154"/>
      <c r="AA61" s="153"/>
      <c r="AB61" s="3" t="s">
        <v>604</v>
      </c>
      <c r="AC61" s="3">
        <v>742000</v>
      </c>
      <c r="AD61" s="157"/>
      <c r="AE61" s="157"/>
      <c r="AF61" s="157"/>
      <c r="AG61" s="157"/>
      <c r="AH61" s="157"/>
      <c r="AI61" s="157"/>
    </row>
    <row r="62" spans="1:35" s="6" customFormat="1" ht="45" customHeight="1">
      <c r="A62" s="153">
        <f t="shared" si="0"/>
        <v>58</v>
      </c>
      <c r="B62" s="28">
        <v>2127</v>
      </c>
      <c r="C62" s="3" t="s">
        <v>406</v>
      </c>
      <c r="D62" s="4">
        <v>2259000</v>
      </c>
      <c r="E62" s="4">
        <v>2259000</v>
      </c>
      <c r="F62" s="154">
        <v>0</v>
      </c>
      <c r="G62" s="4">
        <v>1000000</v>
      </c>
      <c r="H62" s="4">
        <v>358899</v>
      </c>
      <c r="I62" s="4">
        <v>0</v>
      </c>
      <c r="J62" s="4">
        <v>641099</v>
      </c>
      <c r="K62" s="154">
        <v>641099</v>
      </c>
      <c r="L62" s="154">
        <v>999998</v>
      </c>
      <c r="M62" s="154">
        <v>2</v>
      </c>
      <c r="N62" s="154">
        <v>1259000</v>
      </c>
      <c r="O62" s="154">
        <v>0</v>
      </c>
      <c r="P62" s="154">
        <v>2</v>
      </c>
      <c r="Q62" s="154"/>
      <c r="R62" s="154"/>
      <c r="S62" s="154">
        <v>0</v>
      </c>
      <c r="T62" s="154">
        <v>0</v>
      </c>
      <c r="U62" s="154">
        <v>1259000</v>
      </c>
      <c r="V62" s="154">
        <v>0</v>
      </c>
      <c r="W62" s="154"/>
      <c r="X62" s="154"/>
      <c r="Y62" s="154"/>
      <c r="Z62" s="154"/>
      <c r="AA62" s="154">
        <v>1259000</v>
      </c>
      <c r="AB62" s="3" t="s">
        <v>1294</v>
      </c>
      <c r="AC62" s="3">
        <v>747000</v>
      </c>
      <c r="AD62" s="157"/>
      <c r="AE62" s="157"/>
      <c r="AF62" s="157"/>
      <c r="AG62" s="157"/>
      <c r="AH62" s="157"/>
      <c r="AI62" s="157"/>
    </row>
    <row r="63" spans="1:35" s="6" customFormat="1" ht="45" customHeight="1">
      <c r="A63" s="153">
        <f t="shared" si="0"/>
        <v>59</v>
      </c>
      <c r="B63" s="28">
        <v>2130</v>
      </c>
      <c r="C63" s="3" t="s">
        <v>420</v>
      </c>
      <c r="D63" s="4">
        <v>500000</v>
      </c>
      <c r="E63" s="4">
        <v>500000</v>
      </c>
      <c r="F63" s="154">
        <v>0</v>
      </c>
      <c r="G63" s="4">
        <v>500000</v>
      </c>
      <c r="H63" s="4">
        <v>12501</v>
      </c>
      <c r="I63" s="4">
        <v>0</v>
      </c>
      <c r="J63" s="4">
        <v>118960</v>
      </c>
      <c r="K63" s="154">
        <v>118960</v>
      </c>
      <c r="L63" s="154">
        <v>131461</v>
      </c>
      <c r="M63" s="154">
        <v>368539</v>
      </c>
      <c r="N63" s="154"/>
      <c r="O63" s="154">
        <v>0</v>
      </c>
      <c r="P63" s="154">
        <v>368539</v>
      </c>
      <c r="Q63" s="154"/>
      <c r="R63" s="154"/>
      <c r="S63" s="154">
        <v>0</v>
      </c>
      <c r="T63" s="154">
        <v>0</v>
      </c>
      <c r="U63" s="154">
        <v>0</v>
      </c>
      <c r="V63" s="154">
        <v>0</v>
      </c>
      <c r="W63" s="154"/>
      <c r="X63" s="154"/>
      <c r="Y63" s="154"/>
      <c r="Z63" s="154"/>
      <c r="AA63" s="153"/>
      <c r="AB63" s="3" t="s">
        <v>624</v>
      </c>
      <c r="AC63" s="3">
        <v>810000</v>
      </c>
      <c r="AD63" s="157"/>
      <c r="AE63" s="157"/>
      <c r="AF63" s="157"/>
      <c r="AG63" s="157"/>
      <c r="AH63" s="157"/>
      <c r="AI63" s="157"/>
    </row>
    <row r="64" spans="1:35" s="5" customFormat="1" ht="45" customHeight="1">
      <c r="A64" s="153">
        <f t="shared" si="0"/>
        <v>60</v>
      </c>
      <c r="B64" s="28">
        <v>2149</v>
      </c>
      <c r="C64" s="28" t="s">
        <v>856</v>
      </c>
      <c r="D64" s="4">
        <v>2000000</v>
      </c>
      <c r="E64" s="4">
        <v>2000000</v>
      </c>
      <c r="F64" s="154">
        <v>0</v>
      </c>
      <c r="G64" s="4">
        <v>2000000</v>
      </c>
      <c r="H64" s="4">
        <v>719068</v>
      </c>
      <c r="I64" s="4">
        <v>0</v>
      </c>
      <c r="J64" s="4">
        <v>69472</v>
      </c>
      <c r="K64" s="154">
        <v>69472</v>
      </c>
      <c r="L64" s="154">
        <v>788540</v>
      </c>
      <c r="M64" s="154">
        <v>411460</v>
      </c>
      <c r="N64" s="154">
        <v>500000</v>
      </c>
      <c r="O64" s="154">
        <v>300000</v>
      </c>
      <c r="P64" s="154">
        <v>1211460</v>
      </c>
      <c r="Q64" s="154"/>
      <c r="R64" s="154"/>
      <c r="S64" s="154">
        <v>0</v>
      </c>
      <c r="T64" s="154">
        <v>800000</v>
      </c>
      <c r="U64" s="154">
        <v>-300000</v>
      </c>
      <c r="V64" s="154">
        <v>-300000</v>
      </c>
      <c r="W64" s="154"/>
      <c r="X64" s="154"/>
      <c r="Y64" s="154"/>
      <c r="Z64" s="154"/>
      <c r="AA64" s="153"/>
      <c r="AB64" s="3" t="s">
        <v>861</v>
      </c>
      <c r="AC64" s="3">
        <v>810000</v>
      </c>
      <c r="AD64" s="157"/>
      <c r="AE64" s="157"/>
      <c r="AF64" s="157"/>
      <c r="AG64" s="157"/>
      <c r="AH64" s="157"/>
      <c r="AI64" s="157"/>
    </row>
    <row r="65" spans="1:35" s="5" customFormat="1" ht="45" customHeight="1">
      <c r="A65" s="153">
        <f t="shared" si="0"/>
        <v>61</v>
      </c>
      <c r="B65" s="28">
        <v>2150</v>
      </c>
      <c r="C65" s="28" t="s">
        <v>674</v>
      </c>
      <c r="D65" s="4">
        <v>23500000</v>
      </c>
      <c r="E65" s="4">
        <v>23500000</v>
      </c>
      <c r="F65" s="154">
        <v>0</v>
      </c>
      <c r="G65" s="4">
        <v>13150000</v>
      </c>
      <c r="H65" s="4">
        <v>10072483</v>
      </c>
      <c r="I65" s="4">
        <v>0</v>
      </c>
      <c r="J65" s="4">
        <v>346905</v>
      </c>
      <c r="K65" s="154">
        <v>346905</v>
      </c>
      <c r="L65" s="154">
        <v>10419388</v>
      </c>
      <c r="M65" s="154">
        <v>4080612</v>
      </c>
      <c r="N65" s="154">
        <v>0</v>
      </c>
      <c r="O65" s="154">
        <v>9000000</v>
      </c>
      <c r="P65" s="154">
        <v>2730612</v>
      </c>
      <c r="Q65" s="438">
        <v>1350000</v>
      </c>
      <c r="R65" s="154"/>
      <c r="S65" s="154">
        <v>1350000</v>
      </c>
      <c r="T65" s="154">
        <v>0</v>
      </c>
      <c r="U65" s="592">
        <v>0</v>
      </c>
      <c r="V65" s="154">
        <v>0</v>
      </c>
      <c r="W65" s="154"/>
      <c r="X65" s="154"/>
      <c r="Y65" s="154"/>
      <c r="Z65" s="154"/>
      <c r="AA65" s="153"/>
      <c r="AB65" s="28" t="s">
        <v>1200</v>
      </c>
      <c r="AC65" s="3">
        <v>746000</v>
      </c>
      <c r="AD65" s="157"/>
      <c r="AE65" s="157"/>
      <c r="AF65" s="157"/>
      <c r="AG65" s="157"/>
      <c r="AH65" s="157"/>
      <c r="AI65" s="157"/>
    </row>
    <row r="66" spans="1:35" s="5" customFormat="1" ht="45" customHeight="1">
      <c r="A66" s="153">
        <f t="shared" si="0"/>
        <v>62</v>
      </c>
      <c r="B66" s="28">
        <v>2151</v>
      </c>
      <c r="C66" s="3" t="s">
        <v>424</v>
      </c>
      <c r="D66" s="4">
        <v>54000000</v>
      </c>
      <c r="E66" s="4">
        <v>54000000</v>
      </c>
      <c r="F66" s="154">
        <v>0</v>
      </c>
      <c r="G66" s="4">
        <v>5000000</v>
      </c>
      <c r="H66" s="4">
        <v>1512168</v>
      </c>
      <c r="I66" s="4">
        <v>0</v>
      </c>
      <c r="J66" s="4">
        <v>176633</v>
      </c>
      <c r="K66" s="154">
        <v>176633</v>
      </c>
      <c r="L66" s="154">
        <v>1688801</v>
      </c>
      <c r="M66" s="154">
        <v>11199</v>
      </c>
      <c r="N66" s="154">
        <v>4300000</v>
      </c>
      <c r="O66" s="154">
        <v>48000000</v>
      </c>
      <c r="P66" s="154">
        <v>3311199</v>
      </c>
      <c r="Q66" s="154"/>
      <c r="R66" s="154"/>
      <c r="S66" s="154">
        <v>0</v>
      </c>
      <c r="T66" s="154">
        <v>3300000</v>
      </c>
      <c r="U66" s="154">
        <v>1000000</v>
      </c>
      <c r="V66" s="154">
        <v>1000000</v>
      </c>
      <c r="W66" s="154"/>
      <c r="X66" s="154"/>
      <c r="Y66" s="154"/>
      <c r="Z66" s="154"/>
      <c r="AA66" s="153"/>
      <c r="AB66" s="28" t="s">
        <v>952</v>
      </c>
      <c r="AC66" s="3">
        <v>742000</v>
      </c>
      <c r="AD66" s="157"/>
      <c r="AE66" s="157"/>
      <c r="AF66" s="157"/>
      <c r="AG66" s="157"/>
      <c r="AH66" s="157"/>
      <c r="AI66" s="157"/>
    </row>
    <row r="67" spans="1:35" s="5" customFormat="1" ht="45" customHeight="1">
      <c r="A67" s="153">
        <f t="shared" si="0"/>
        <v>63</v>
      </c>
      <c r="B67" s="28">
        <v>2152</v>
      </c>
      <c r="C67" s="3" t="s">
        <v>425</v>
      </c>
      <c r="D67" s="4">
        <v>16000000</v>
      </c>
      <c r="E67" s="4">
        <v>16000000</v>
      </c>
      <c r="F67" s="154">
        <v>0</v>
      </c>
      <c r="G67" s="4">
        <v>1331810</v>
      </c>
      <c r="H67" s="4">
        <v>718751</v>
      </c>
      <c r="I67" s="4">
        <v>0</v>
      </c>
      <c r="J67" s="4">
        <v>122748</v>
      </c>
      <c r="K67" s="154">
        <v>122748</v>
      </c>
      <c r="L67" s="154">
        <v>841499</v>
      </c>
      <c r="M67" s="154">
        <v>490311</v>
      </c>
      <c r="N67" s="154">
        <v>0</v>
      </c>
      <c r="O67" s="154">
        <v>14668190</v>
      </c>
      <c r="P67" s="154">
        <v>490311</v>
      </c>
      <c r="Q67" s="154"/>
      <c r="R67" s="154"/>
      <c r="S67" s="154">
        <v>0</v>
      </c>
      <c r="T67" s="154">
        <v>0</v>
      </c>
      <c r="U67" s="154">
        <v>0</v>
      </c>
      <c r="V67" s="154">
        <v>0</v>
      </c>
      <c r="W67" s="154"/>
      <c r="X67" s="154"/>
      <c r="Y67" s="154"/>
      <c r="Z67" s="154"/>
      <c r="AA67" s="154"/>
      <c r="AB67" s="28" t="s">
        <v>744</v>
      </c>
      <c r="AC67" s="3">
        <v>810000</v>
      </c>
      <c r="AD67" s="157"/>
      <c r="AE67" s="157"/>
      <c r="AF67" s="157"/>
      <c r="AG67" s="157"/>
      <c r="AH67" s="157"/>
      <c r="AI67" s="157"/>
    </row>
    <row r="68" spans="1:35" s="5" customFormat="1" ht="45" customHeight="1">
      <c r="A68" s="153">
        <f t="shared" si="0"/>
        <v>64</v>
      </c>
      <c r="B68" s="28">
        <v>2153</v>
      </c>
      <c r="C68" s="3" t="s">
        <v>455</v>
      </c>
      <c r="D68" s="297">
        <v>225000000</v>
      </c>
      <c r="E68" s="4">
        <v>225000000</v>
      </c>
      <c r="F68" s="154">
        <v>0</v>
      </c>
      <c r="G68" s="4">
        <v>1000000</v>
      </c>
      <c r="H68" s="4">
        <v>524017</v>
      </c>
      <c r="I68" s="4">
        <v>0</v>
      </c>
      <c r="J68" s="4">
        <v>16430</v>
      </c>
      <c r="K68" s="154">
        <v>16430</v>
      </c>
      <c r="L68" s="154">
        <v>540447</v>
      </c>
      <c r="M68" s="154">
        <v>459553</v>
      </c>
      <c r="N68" s="154">
        <v>1000000</v>
      </c>
      <c r="O68" s="154">
        <v>223000000</v>
      </c>
      <c r="P68" s="154">
        <v>459553</v>
      </c>
      <c r="Q68" s="154"/>
      <c r="R68" s="154"/>
      <c r="S68" s="154">
        <v>0</v>
      </c>
      <c r="T68" s="154">
        <v>0</v>
      </c>
      <c r="U68" s="154">
        <v>1000000</v>
      </c>
      <c r="V68" s="154">
        <v>1000000</v>
      </c>
      <c r="W68" s="154"/>
      <c r="X68" s="154"/>
      <c r="Y68" s="154"/>
      <c r="Z68" s="154"/>
      <c r="AA68" s="153"/>
      <c r="AB68" s="28" t="s">
        <v>540</v>
      </c>
      <c r="AC68" s="3">
        <v>829000</v>
      </c>
      <c r="AD68" s="157"/>
      <c r="AE68" s="157"/>
      <c r="AF68" s="157"/>
      <c r="AG68" s="157"/>
      <c r="AH68" s="157"/>
      <c r="AI68" s="157"/>
    </row>
    <row r="69" spans="1:35" customFormat="1" ht="40.049999999999997" customHeight="1">
      <c r="A69" s="153">
        <f t="shared" si="0"/>
        <v>65</v>
      </c>
      <c r="B69" s="28">
        <v>2164</v>
      </c>
      <c r="C69" s="3" t="s">
        <v>439</v>
      </c>
      <c r="D69" s="4">
        <v>300000</v>
      </c>
      <c r="E69" s="4">
        <v>300000</v>
      </c>
      <c r="F69" s="4">
        <v>0</v>
      </c>
      <c r="G69" s="4">
        <v>300000</v>
      </c>
      <c r="H69" s="4">
        <v>24087</v>
      </c>
      <c r="I69" s="4">
        <v>0</v>
      </c>
      <c r="J69" s="4">
        <v>16059.21</v>
      </c>
      <c r="K69" s="4">
        <v>16059.21</v>
      </c>
      <c r="L69" s="4">
        <v>40146.21</v>
      </c>
      <c r="M69" s="4">
        <v>259853.79</v>
      </c>
      <c r="N69" s="4"/>
      <c r="O69" s="4">
        <v>0</v>
      </c>
      <c r="P69" s="4">
        <v>259853.79</v>
      </c>
      <c r="Q69" s="4"/>
      <c r="R69" s="4"/>
      <c r="S69" s="4">
        <v>0</v>
      </c>
      <c r="T69" s="4">
        <v>0</v>
      </c>
      <c r="U69" s="4">
        <v>0</v>
      </c>
      <c r="V69" s="4"/>
      <c r="W69" s="154">
        <v>0</v>
      </c>
      <c r="X69" s="4"/>
      <c r="Y69" s="4"/>
      <c r="Z69" s="4"/>
      <c r="AA69" s="4"/>
      <c r="AB69" s="3" t="s">
        <v>440</v>
      </c>
      <c r="AC69" s="3">
        <v>742000</v>
      </c>
    </row>
    <row r="70" spans="1:35" s="5" customFormat="1" ht="45" customHeight="1">
      <c r="A70" s="153">
        <f t="shared" ref="A70:A105" si="1">A69+1</f>
        <v>66</v>
      </c>
      <c r="B70" s="28">
        <v>2174</v>
      </c>
      <c r="C70" s="3" t="s">
        <v>480</v>
      </c>
      <c r="D70" s="4">
        <v>10598992</v>
      </c>
      <c r="E70" s="4">
        <v>10598992</v>
      </c>
      <c r="F70" s="154">
        <v>0</v>
      </c>
      <c r="G70" s="4">
        <v>10598992</v>
      </c>
      <c r="H70" s="4">
        <v>10315714</v>
      </c>
      <c r="I70" s="4">
        <v>0</v>
      </c>
      <c r="J70" s="4">
        <v>203718</v>
      </c>
      <c r="K70" s="154">
        <v>203718</v>
      </c>
      <c r="L70" s="154">
        <v>10519432</v>
      </c>
      <c r="M70" s="154">
        <v>79560</v>
      </c>
      <c r="N70" s="154"/>
      <c r="O70" s="154">
        <v>0</v>
      </c>
      <c r="P70" s="154">
        <v>79560</v>
      </c>
      <c r="Q70" s="154"/>
      <c r="R70" s="154"/>
      <c r="S70" s="154">
        <v>0</v>
      </c>
      <c r="T70" s="154">
        <v>0</v>
      </c>
      <c r="U70" s="154">
        <v>0</v>
      </c>
      <c r="V70" s="154">
        <v>0</v>
      </c>
      <c r="W70" s="154"/>
      <c r="X70" s="154"/>
      <c r="Y70" s="154"/>
      <c r="Z70" s="154"/>
      <c r="AA70" s="154"/>
      <c r="AB70" s="3" t="s">
        <v>1239</v>
      </c>
      <c r="AC70" s="3">
        <v>810000</v>
      </c>
      <c r="AD70" s="157"/>
      <c r="AE70" s="157"/>
      <c r="AF70" s="157"/>
      <c r="AG70" s="157"/>
      <c r="AH70" s="157"/>
      <c r="AI70" s="157"/>
    </row>
    <row r="71" spans="1:35" s="5" customFormat="1" ht="45" customHeight="1">
      <c r="A71" s="153">
        <f t="shared" si="1"/>
        <v>67</v>
      </c>
      <c r="B71" s="28">
        <v>2175</v>
      </c>
      <c r="C71" s="3" t="s">
        <v>481</v>
      </c>
      <c r="D71" s="4">
        <v>21000000</v>
      </c>
      <c r="E71" s="4">
        <v>21000000</v>
      </c>
      <c r="F71" s="154">
        <v>0</v>
      </c>
      <c r="G71" s="4">
        <v>5665336</v>
      </c>
      <c r="H71" s="4">
        <v>1275603</v>
      </c>
      <c r="I71" s="4">
        <v>0</v>
      </c>
      <c r="J71" s="4">
        <v>528758</v>
      </c>
      <c r="K71" s="154">
        <v>528758</v>
      </c>
      <c r="L71" s="154">
        <v>1804361</v>
      </c>
      <c r="M71" s="154">
        <v>7806272</v>
      </c>
      <c r="N71" s="154">
        <v>9334664</v>
      </c>
      <c r="O71" s="154">
        <v>2054703</v>
      </c>
      <c r="P71" s="154">
        <v>3860975</v>
      </c>
      <c r="Q71" s="438">
        <v>3945297</v>
      </c>
      <c r="R71" s="154"/>
      <c r="S71" s="154">
        <v>3945297</v>
      </c>
      <c r="T71" s="154">
        <v>0</v>
      </c>
      <c r="U71" s="154">
        <v>9334664</v>
      </c>
      <c r="V71" s="154">
        <v>9334664</v>
      </c>
      <c r="W71" s="154"/>
      <c r="X71" s="154"/>
      <c r="Y71" s="154"/>
      <c r="Z71" s="154"/>
      <c r="AA71" s="154"/>
      <c r="AB71" s="3" t="s">
        <v>857</v>
      </c>
      <c r="AC71" s="3">
        <v>810000</v>
      </c>
      <c r="AD71" s="157"/>
      <c r="AE71" s="157"/>
      <c r="AF71" s="157"/>
      <c r="AG71" s="157"/>
      <c r="AH71" s="157"/>
      <c r="AI71" s="157"/>
    </row>
    <row r="72" spans="1:35" s="5" customFormat="1" ht="45" customHeight="1">
      <c r="A72" s="153">
        <f t="shared" si="1"/>
        <v>68</v>
      </c>
      <c r="B72" s="28">
        <v>2180</v>
      </c>
      <c r="C72" s="3" t="s">
        <v>482</v>
      </c>
      <c r="D72" s="4">
        <v>1000000</v>
      </c>
      <c r="E72" s="4">
        <v>1000000</v>
      </c>
      <c r="F72" s="154">
        <v>0</v>
      </c>
      <c r="G72" s="4">
        <v>1000000</v>
      </c>
      <c r="H72" s="4">
        <v>107809</v>
      </c>
      <c r="I72" s="4">
        <v>0</v>
      </c>
      <c r="J72" s="4">
        <v>140229</v>
      </c>
      <c r="K72" s="154">
        <v>140229</v>
      </c>
      <c r="L72" s="154">
        <v>248038</v>
      </c>
      <c r="M72" s="154">
        <v>751962</v>
      </c>
      <c r="N72" s="154"/>
      <c r="O72" s="154">
        <v>0</v>
      </c>
      <c r="P72" s="154">
        <v>751962</v>
      </c>
      <c r="Q72" s="154"/>
      <c r="R72" s="154"/>
      <c r="S72" s="154">
        <v>0</v>
      </c>
      <c r="T72" s="154">
        <v>0</v>
      </c>
      <c r="U72" s="154">
        <v>0</v>
      </c>
      <c r="V72" s="154">
        <v>0</v>
      </c>
      <c r="W72" s="154"/>
      <c r="X72" s="154"/>
      <c r="Y72" s="154"/>
      <c r="Z72" s="154"/>
      <c r="AA72" s="153"/>
      <c r="AB72" s="3" t="s">
        <v>541</v>
      </c>
      <c r="AC72" s="3">
        <v>732000</v>
      </c>
      <c r="AD72" s="157"/>
      <c r="AE72" s="157"/>
      <c r="AF72" s="157"/>
      <c r="AG72" s="157"/>
      <c r="AH72" s="157"/>
      <c r="AI72" s="157"/>
    </row>
    <row r="73" spans="1:35" s="5" customFormat="1" ht="45" customHeight="1">
      <c r="A73" s="153">
        <f t="shared" si="1"/>
        <v>69</v>
      </c>
      <c r="B73" s="28">
        <v>2182</v>
      </c>
      <c r="C73" s="3" t="s">
        <v>483</v>
      </c>
      <c r="D73" s="297">
        <v>3900000</v>
      </c>
      <c r="E73" s="4">
        <v>2500000</v>
      </c>
      <c r="F73" s="154">
        <v>1400000</v>
      </c>
      <c r="G73" s="4">
        <v>2000000</v>
      </c>
      <c r="H73" s="4">
        <v>553411</v>
      </c>
      <c r="I73" s="4">
        <v>0</v>
      </c>
      <c r="J73" s="4">
        <v>306519</v>
      </c>
      <c r="K73" s="154">
        <v>306519</v>
      </c>
      <c r="L73" s="154">
        <v>859930</v>
      </c>
      <c r="M73" s="154">
        <v>140070</v>
      </c>
      <c r="N73" s="154">
        <v>1350000</v>
      </c>
      <c r="O73" s="154">
        <v>1550000</v>
      </c>
      <c r="P73" s="154">
        <v>1140070</v>
      </c>
      <c r="Q73" s="154"/>
      <c r="R73" s="154"/>
      <c r="S73" s="154">
        <v>0</v>
      </c>
      <c r="T73" s="154">
        <v>1000000</v>
      </c>
      <c r="U73" s="154">
        <v>350000</v>
      </c>
      <c r="V73" s="154">
        <v>350000</v>
      </c>
      <c r="W73" s="154"/>
      <c r="X73" s="154"/>
      <c r="Y73" s="154"/>
      <c r="Z73" s="154"/>
      <c r="AA73" s="153"/>
      <c r="AB73" s="3" t="s">
        <v>605</v>
      </c>
      <c r="AC73" s="3">
        <v>810000</v>
      </c>
      <c r="AD73" s="157"/>
      <c r="AE73" s="157"/>
      <c r="AF73" s="157"/>
      <c r="AG73" s="157"/>
      <c r="AH73" s="157"/>
      <c r="AI73" s="157"/>
    </row>
    <row r="74" spans="1:35" customFormat="1" ht="45" customHeight="1">
      <c r="A74" s="153">
        <f t="shared" si="1"/>
        <v>70</v>
      </c>
      <c r="B74" s="3">
        <v>2184</v>
      </c>
      <c r="C74" s="3" t="s">
        <v>490</v>
      </c>
      <c r="D74" s="4">
        <v>2180000</v>
      </c>
      <c r="E74" s="4">
        <v>2180000</v>
      </c>
      <c r="F74" s="4">
        <v>0</v>
      </c>
      <c r="G74" s="4">
        <v>560000</v>
      </c>
      <c r="H74" s="4">
        <v>43432</v>
      </c>
      <c r="I74" s="4">
        <v>0</v>
      </c>
      <c r="J74" s="4">
        <v>0</v>
      </c>
      <c r="K74" s="4">
        <v>0</v>
      </c>
      <c r="L74" s="4">
        <v>43432</v>
      </c>
      <c r="M74" s="4">
        <v>516568</v>
      </c>
      <c r="N74" s="4"/>
      <c r="O74" s="4">
        <v>1620000</v>
      </c>
      <c r="P74" s="4">
        <v>516568</v>
      </c>
      <c r="Q74" s="4"/>
      <c r="R74" s="4"/>
      <c r="S74" s="4">
        <v>0</v>
      </c>
      <c r="T74" s="4">
        <v>0</v>
      </c>
      <c r="U74" s="4">
        <v>0</v>
      </c>
      <c r="V74" s="4"/>
      <c r="W74" s="4">
        <v>0</v>
      </c>
      <c r="X74" s="4"/>
      <c r="Y74" s="4"/>
      <c r="Z74" s="4"/>
      <c r="AA74" s="3"/>
      <c r="AB74" s="3" t="s">
        <v>596</v>
      </c>
      <c r="AC74" s="3">
        <v>930000</v>
      </c>
      <c r="AD74" s="157"/>
      <c r="AE74" s="157"/>
      <c r="AF74" s="157"/>
      <c r="AG74" s="157"/>
    </row>
    <row r="75" spans="1:35" s="5" customFormat="1" ht="45" customHeight="1">
      <c r="A75" s="153">
        <f t="shared" si="1"/>
        <v>71</v>
      </c>
      <c r="B75" s="28">
        <v>2185</v>
      </c>
      <c r="C75" s="3" t="s">
        <v>484</v>
      </c>
      <c r="D75" s="4">
        <v>40000000</v>
      </c>
      <c r="E75" s="4">
        <v>40000000</v>
      </c>
      <c r="F75" s="154">
        <v>0</v>
      </c>
      <c r="G75" s="4">
        <v>981587</v>
      </c>
      <c r="H75" s="4">
        <v>458266</v>
      </c>
      <c r="I75" s="4">
        <v>0</v>
      </c>
      <c r="J75" s="4">
        <v>198595</v>
      </c>
      <c r="K75" s="154">
        <v>198595</v>
      </c>
      <c r="L75" s="154">
        <v>656861</v>
      </c>
      <c r="M75" s="154">
        <v>2730421</v>
      </c>
      <c r="N75" s="154">
        <v>6398625</v>
      </c>
      <c r="O75" s="154">
        <v>30214093</v>
      </c>
      <c r="P75" s="154">
        <v>324726</v>
      </c>
      <c r="Q75" s="435">
        <v>4405695</v>
      </c>
      <c r="R75" s="154"/>
      <c r="S75" s="154">
        <v>4405695</v>
      </c>
      <c r="T75" s="154">
        <v>2000000</v>
      </c>
      <c r="U75" s="154">
        <v>4398625</v>
      </c>
      <c r="V75" s="154">
        <v>0</v>
      </c>
      <c r="W75" s="154"/>
      <c r="X75" s="154"/>
      <c r="Y75" s="154"/>
      <c r="Z75" s="154"/>
      <c r="AA75" s="154">
        <v>4398625</v>
      </c>
      <c r="AB75" s="3" t="s">
        <v>1295</v>
      </c>
      <c r="AC75" s="3">
        <v>810000</v>
      </c>
      <c r="AD75" s="157"/>
      <c r="AE75" s="157"/>
      <c r="AF75" s="157"/>
      <c r="AG75" s="157"/>
      <c r="AH75" s="157"/>
      <c r="AI75" s="157"/>
    </row>
    <row r="76" spans="1:35" s="5" customFormat="1" ht="45" customHeight="1">
      <c r="A76" s="153">
        <f t="shared" si="1"/>
        <v>72</v>
      </c>
      <c r="B76" s="28">
        <v>2191</v>
      </c>
      <c r="C76" s="3" t="s">
        <v>564</v>
      </c>
      <c r="D76" s="4">
        <v>14000000</v>
      </c>
      <c r="E76" s="4">
        <v>14000000</v>
      </c>
      <c r="F76" s="4">
        <v>0</v>
      </c>
      <c r="G76" s="4">
        <v>500000</v>
      </c>
      <c r="H76" s="4">
        <v>300187</v>
      </c>
      <c r="I76" s="4">
        <v>0</v>
      </c>
      <c r="J76" s="4">
        <v>71872</v>
      </c>
      <c r="K76" s="154">
        <v>71872</v>
      </c>
      <c r="L76" s="154">
        <v>372059</v>
      </c>
      <c r="M76" s="154">
        <v>327941</v>
      </c>
      <c r="N76" s="154">
        <v>0</v>
      </c>
      <c r="O76" s="4">
        <v>13300000</v>
      </c>
      <c r="P76" s="4">
        <v>127941</v>
      </c>
      <c r="Q76" s="435">
        <v>200000</v>
      </c>
      <c r="R76" s="4"/>
      <c r="S76" s="4">
        <v>200000</v>
      </c>
      <c r="T76" s="4">
        <v>0</v>
      </c>
      <c r="U76" s="4">
        <v>0</v>
      </c>
      <c r="V76" s="4">
        <v>0</v>
      </c>
      <c r="W76" s="4"/>
      <c r="X76" s="4"/>
      <c r="Y76" s="4"/>
      <c r="Z76" s="4"/>
      <c r="AA76" s="4"/>
      <c r="AB76" s="3" t="s">
        <v>745</v>
      </c>
      <c r="AC76" s="3">
        <v>742000</v>
      </c>
      <c r="AD76" s="157"/>
      <c r="AE76" s="157"/>
      <c r="AF76" s="157"/>
      <c r="AG76" s="157"/>
      <c r="AH76" s="157"/>
      <c r="AI76" s="157"/>
    </row>
    <row r="77" spans="1:35" s="5" customFormat="1" ht="45" customHeight="1">
      <c r="A77" s="153">
        <f t="shared" si="1"/>
        <v>73</v>
      </c>
      <c r="B77" s="28">
        <v>2194</v>
      </c>
      <c r="C77" s="3" t="s">
        <v>567</v>
      </c>
      <c r="D77" s="4">
        <v>700000</v>
      </c>
      <c r="E77" s="4">
        <v>700000</v>
      </c>
      <c r="F77" s="4">
        <v>0</v>
      </c>
      <c r="G77" s="4">
        <v>500000</v>
      </c>
      <c r="H77" s="4">
        <v>0</v>
      </c>
      <c r="I77" s="4">
        <v>0</v>
      </c>
      <c r="J77" s="4">
        <v>0</v>
      </c>
      <c r="K77" s="154">
        <v>0</v>
      </c>
      <c r="L77" s="154">
        <v>0</v>
      </c>
      <c r="M77" s="154">
        <v>100000</v>
      </c>
      <c r="N77" s="154">
        <v>0</v>
      </c>
      <c r="O77" s="4">
        <v>600000</v>
      </c>
      <c r="P77" s="4">
        <v>500000</v>
      </c>
      <c r="Q77" s="4"/>
      <c r="R77" s="4"/>
      <c r="S77" s="4">
        <v>0</v>
      </c>
      <c r="T77" s="4">
        <v>400000</v>
      </c>
      <c r="U77" s="4">
        <v>-400000</v>
      </c>
      <c r="V77" s="4">
        <v>-400000</v>
      </c>
      <c r="W77" s="4"/>
      <c r="X77" s="4"/>
      <c r="Y77" s="4"/>
      <c r="Z77" s="4"/>
      <c r="AA77" s="4"/>
      <c r="AB77" s="3" t="s">
        <v>746</v>
      </c>
      <c r="AC77" s="3">
        <v>742000</v>
      </c>
      <c r="AD77" s="157"/>
      <c r="AE77" s="157"/>
      <c r="AF77" s="157"/>
      <c r="AG77" s="157"/>
      <c r="AH77" s="157"/>
      <c r="AI77" s="157"/>
    </row>
    <row r="78" spans="1:35" s="5" customFormat="1" ht="45" customHeight="1">
      <c r="A78" s="153">
        <f t="shared" si="1"/>
        <v>74</v>
      </c>
      <c r="B78" s="28">
        <v>2196</v>
      </c>
      <c r="C78" s="3" t="s">
        <v>569</v>
      </c>
      <c r="D78" s="4">
        <v>21135000</v>
      </c>
      <c r="E78" s="4">
        <v>21135000</v>
      </c>
      <c r="F78" s="4">
        <v>0</v>
      </c>
      <c r="G78" s="4">
        <v>500000</v>
      </c>
      <c r="H78" s="4">
        <v>317834</v>
      </c>
      <c r="I78" s="4">
        <v>0</v>
      </c>
      <c r="J78" s="4">
        <v>110035</v>
      </c>
      <c r="K78" s="154">
        <v>110035</v>
      </c>
      <c r="L78" s="154">
        <v>427869</v>
      </c>
      <c r="M78" s="154">
        <v>572131</v>
      </c>
      <c r="N78" s="154">
        <v>1000000</v>
      </c>
      <c r="O78" s="4">
        <v>19135000</v>
      </c>
      <c r="P78" s="4">
        <v>72131</v>
      </c>
      <c r="Q78" s="435">
        <v>500000</v>
      </c>
      <c r="R78" s="4"/>
      <c r="S78" s="4">
        <v>500000</v>
      </c>
      <c r="T78" s="4">
        <v>0</v>
      </c>
      <c r="U78" s="4">
        <v>1000000</v>
      </c>
      <c r="V78" s="4">
        <v>1000000</v>
      </c>
      <c r="W78" s="4"/>
      <c r="X78" s="4"/>
      <c r="Y78" s="4"/>
      <c r="Z78" s="4"/>
      <c r="AA78" s="4"/>
      <c r="AB78" s="3" t="s">
        <v>747</v>
      </c>
      <c r="AC78" s="3">
        <v>742000</v>
      </c>
      <c r="AD78" s="157"/>
      <c r="AE78" s="157"/>
      <c r="AF78" s="157"/>
      <c r="AG78" s="157"/>
      <c r="AH78" s="157"/>
      <c r="AI78" s="157"/>
    </row>
    <row r="79" spans="1:35" s="5" customFormat="1" ht="45" customHeight="1">
      <c r="A79" s="153">
        <f t="shared" si="1"/>
        <v>75</v>
      </c>
      <c r="B79" s="28">
        <v>2197</v>
      </c>
      <c r="C79" s="3" t="s">
        <v>570</v>
      </c>
      <c r="D79" s="4">
        <v>15160000</v>
      </c>
      <c r="E79" s="4">
        <v>15160000</v>
      </c>
      <c r="F79" s="4">
        <v>0</v>
      </c>
      <c r="G79" s="4">
        <v>600000</v>
      </c>
      <c r="H79" s="4">
        <v>479168</v>
      </c>
      <c r="I79" s="4">
        <v>0</v>
      </c>
      <c r="J79" s="4">
        <v>12402</v>
      </c>
      <c r="K79" s="154">
        <v>12402</v>
      </c>
      <c r="L79" s="154">
        <v>491570</v>
      </c>
      <c r="M79" s="154">
        <v>208430</v>
      </c>
      <c r="N79" s="154">
        <v>0</v>
      </c>
      <c r="O79" s="4">
        <v>14460000</v>
      </c>
      <c r="P79" s="4">
        <v>108430</v>
      </c>
      <c r="Q79" s="435">
        <v>100000</v>
      </c>
      <c r="R79" s="4"/>
      <c r="S79" s="4">
        <v>100000</v>
      </c>
      <c r="T79" s="4">
        <v>0</v>
      </c>
      <c r="U79" s="4">
        <v>0</v>
      </c>
      <c r="V79" s="4">
        <v>0</v>
      </c>
      <c r="W79" s="4"/>
      <c r="X79" s="4"/>
      <c r="Y79" s="4"/>
      <c r="Z79" s="4"/>
      <c r="AA79" s="4"/>
      <c r="AB79" s="3" t="s">
        <v>1398</v>
      </c>
      <c r="AC79" s="3">
        <v>742000</v>
      </c>
      <c r="AD79" s="157"/>
      <c r="AE79" s="157"/>
      <c r="AF79" s="157"/>
      <c r="AG79" s="157"/>
      <c r="AH79" s="157"/>
      <c r="AI79" s="157"/>
    </row>
    <row r="80" spans="1:35" s="5" customFormat="1" ht="45" customHeight="1">
      <c r="A80" s="153">
        <f t="shared" si="1"/>
        <v>76</v>
      </c>
      <c r="B80" s="28">
        <v>2198</v>
      </c>
      <c r="C80" s="3" t="s">
        <v>571</v>
      </c>
      <c r="D80" s="4">
        <v>16030000</v>
      </c>
      <c r="E80" s="4">
        <v>16030000</v>
      </c>
      <c r="F80" s="4">
        <v>0</v>
      </c>
      <c r="G80" s="4">
        <v>500000</v>
      </c>
      <c r="H80" s="4">
        <v>290055</v>
      </c>
      <c r="I80" s="4">
        <v>0</v>
      </c>
      <c r="J80" s="4">
        <v>19997</v>
      </c>
      <c r="K80" s="154">
        <v>19997</v>
      </c>
      <c r="L80" s="154">
        <v>310052</v>
      </c>
      <c r="M80" s="154">
        <v>489948</v>
      </c>
      <c r="N80" s="154">
        <v>0</v>
      </c>
      <c r="O80" s="4">
        <v>15230000</v>
      </c>
      <c r="P80" s="4">
        <v>189948</v>
      </c>
      <c r="Q80" s="435">
        <v>300000</v>
      </c>
      <c r="R80" s="4"/>
      <c r="S80" s="4">
        <v>300000</v>
      </c>
      <c r="T80" s="4">
        <v>0</v>
      </c>
      <c r="U80" s="4">
        <v>0</v>
      </c>
      <c r="V80" s="4">
        <v>0</v>
      </c>
      <c r="W80" s="4"/>
      <c r="X80" s="4"/>
      <c r="Y80" s="4"/>
      <c r="Z80" s="4"/>
      <c r="AA80" s="4"/>
      <c r="AB80" s="3" t="s">
        <v>820</v>
      </c>
      <c r="AC80" s="3">
        <v>742000</v>
      </c>
      <c r="AD80" s="157"/>
      <c r="AE80" s="157"/>
      <c r="AF80" s="157"/>
      <c r="AG80" s="157"/>
      <c r="AH80" s="157"/>
      <c r="AI80" s="157"/>
    </row>
    <row r="81" spans="1:39" s="5" customFormat="1" ht="45" customHeight="1">
      <c r="A81" s="153">
        <f t="shared" si="1"/>
        <v>77</v>
      </c>
      <c r="B81" s="28">
        <v>2201</v>
      </c>
      <c r="C81" s="3" t="s">
        <v>544</v>
      </c>
      <c r="D81" s="4">
        <v>80000000</v>
      </c>
      <c r="E81" s="4">
        <v>80000000</v>
      </c>
      <c r="F81" s="4">
        <v>0</v>
      </c>
      <c r="G81" s="4">
        <v>650000</v>
      </c>
      <c r="H81" s="4">
        <v>340518</v>
      </c>
      <c r="I81" s="4">
        <v>0</v>
      </c>
      <c r="J81" s="4">
        <v>36993</v>
      </c>
      <c r="K81" s="154">
        <v>36993</v>
      </c>
      <c r="L81" s="154">
        <v>377511</v>
      </c>
      <c r="M81" s="154">
        <v>1122489</v>
      </c>
      <c r="N81" s="154">
        <v>20851623</v>
      </c>
      <c r="O81" s="4">
        <v>57648377</v>
      </c>
      <c r="P81" s="4">
        <v>272489</v>
      </c>
      <c r="Q81" s="435">
        <v>850000</v>
      </c>
      <c r="R81" s="4"/>
      <c r="S81" s="154">
        <v>850000</v>
      </c>
      <c r="T81" s="154">
        <v>0</v>
      </c>
      <c r="U81" s="154">
        <v>20851623</v>
      </c>
      <c r="V81" s="154">
        <v>1000000</v>
      </c>
      <c r="W81" s="4"/>
      <c r="X81" s="4"/>
      <c r="Y81" s="4"/>
      <c r="Z81" s="4"/>
      <c r="AA81" s="4">
        <v>19851623</v>
      </c>
      <c r="AB81" s="3" t="s">
        <v>1296</v>
      </c>
      <c r="AC81" s="3">
        <v>810000</v>
      </c>
      <c r="AD81" s="157"/>
      <c r="AE81" s="157"/>
      <c r="AF81" s="157"/>
      <c r="AG81" s="157"/>
      <c r="AH81" s="157"/>
      <c r="AI81" s="157"/>
    </row>
    <row r="82" spans="1:39" s="5" customFormat="1" ht="45" customHeight="1">
      <c r="A82" s="153">
        <f t="shared" si="1"/>
        <v>78</v>
      </c>
      <c r="B82" s="28">
        <v>2202</v>
      </c>
      <c r="C82" s="3" t="s">
        <v>545</v>
      </c>
      <c r="D82" s="297">
        <v>49000000</v>
      </c>
      <c r="E82" s="4">
        <v>1000000</v>
      </c>
      <c r="F82" s="4">
        <v>48000000</v>
      </c>
      <c r="G82" s="4">
        <v>1000000</v>
      </c>
      <c r="H82" s="4">
        <v>259284</v>
      </c>
      <c r="I82" s="4">
        <v>0</v>
      </c>
      <c r="J82" s="4">
        <v>112775</v>
      </c>
      <c r="K82" s="154">
        <v>112775</v>
      </c>
      <c r="L82" s="154">
        <v>372059</v>
      </c>
      <c r="M82" s="154">
        <v>627941</v>
      </c>
      <c r="N82" s="154">
        <v>0</v>
      </c>
      <c r="O82" s="4">
        <v>48000000</v>
      </c>
      <c r="P82" s="4">
        <v>627941</v>
      </c>
      <c r="Q82" s="4"/>
      <c r="R82" s="4"/>
      <c r="S82" s="154">
        <v>0</v>
      </c>
      <c r="T82" s="154">
        <v>0</v>
      </c>
      <c r="U82" s="154">
        <v>0</v>
      </c>
      <c r="V82" s="154">
        <v>0</v>
      </c>
      <c r="W82" s="4"/>
      <c r="X82" s="4"/>
      <c r="Y82" s="4"/>
      <c r="Z82" s="4"/>
      <c r="AA82" s="4"/>
      <c r="AB82" s="3" t="s">
        <v>749</v>
      </c>
      <c r="AC82" s="3">
        <v>810000</v>
      </c>
      <c r="AD82" s="157"/>
      <c r="AE82" s="157"/>
      <c r="AF82" s="157"/>
      <c r="AG82" s="157"/>
      <c r="AH82" s="157"/>
      <c r="AI82" s="157"/>
    </row>
    <row r="83" spans="1:39" s="5" customFormat="1" ht="45" customHeight="1">
      <c r="A83" s="153">
        <f t="shared" si="1"/>
        <v>79</v>
      </c>
      <c r="B83" s="28">
        <v>2203</v>
      </c>
      <c r="C83" s="3" t="s">
        <v>890</v>
      </c>
      <c r="D83" s="4">
        <v>1000000</v>
      </c>
      <c r="E83" s="4">
        <v>1000000</v>
      </c>
      <c r="F83" s="4">
        <v>0</v>
      </c>
      <c r="G83" s="4">
        <v>1000000</v>
      </c>
      <c r="H83" s="4">
        <v>0</v>
      </c>
      <c r="I83" s="4">
        <v>0</v>
      </c>
      <c r="J83" s="4">
        <v>124020</v>
      </c>
      <c r="K83" s="154">
        <v>124020</v>
      </c>
      <c r="L83" s="154">
        <v>124020</v>
      </c>
      <c r="M83" s="154">
        <v>875980</v>
      </c>
      <c r="N83" s="154"/>
      <c r="O83" s="4">
        <v>0</v>
      </c>
      <c r="P83" s="4">
        <v>875980</v>
      </c>
      <c r="Q83" s="4"/>
      <c r="R83" s="4"/>
      <c r="S83" s="154">
        <v>0</v>
      </c>
      <c r="T83" s="154">
        <v>0</v>
      </c>
      <c r="U83" s="154">
        <v>0</v>
      </c>
      <c r="V83" s="154">
        <v>0</v>
      </c>
      <c r="W83" s="4"/>
      <c r="X83" s="4"/>
      <c r="Y83" s="4"/>
      <c r="Z83" s="4"/>
      <c r="AA83" s="4"/>
      <c r="AB83" s="3" t="s">
        <v>1399</v>
      </c>
      <c r="AC83" s="419">
        <v>829000</v>
      </c>
      <c r="AD83" s="157"/>
      <c r="AE83" s="157"/>
      <c r="AF83" s="157"/>
      <c r="AG83" s="157"/>
      <c r="AH83" s="157"/>
      <c r="AI83" s="157"/>
    </row>
    <row r="84" spans="1:39" s="5" customFormat="1" ht="45" customHeight="1">
      <c r="A84" s="153">
        <f t="shared" si="1"/>
        <v>80</v>
      </c>
      <c r="B84" s="28">
        <v>2205</v>
      </c>
      <c r="C84" s="3" t="s">
        <v>496</v>
      </c>
      <c r="D84" s="297">
        <v>18000000</v>
      </c>
      <c r="E84" s="4">
        <v>16000000</v>
      </c>
      <c r="F84" s="4">
        <v>2000000</v>
      </c>
      <c r="G84" s="4">
        <v>1077600</v>
      </c>
      <c r="H84" s="4">
        <v>642658</v>
      </c>
      <c r="I84" s="4">
        <v>0</v>
      </c>
      <c r="J84" s="4">
        <v>330898</v>
      </c>
      <c r="K84" s="154">
        <v>330898</v>
      </c>
      <c r="L84" s="154">
        <v>973556</v>
      </c>
      <c r="M84" s="154">
        <v>6804044</v>
      </c>
      <c r="N84" s="154">
        <v>10222400</v>
      </c>
      <c r="O84" s="4">
        <v>0</v>
      </c>
      <c r="P84" s="4">
        <v>104044</v>
      </c>
      <c r="Q84" s="435">
        <v>6700000</v>
      </c>
      <c r="R84" s="4"/>
      <c r="S84" s="154">
        <v>6700000</v>
      </c>
      <c r="T84" s="154">
        <v>0</v>
      </c>
      <c r="U84" s="154">
        <v>10222400</v>
      </c>
      <c r="V84" s="154">
        <v>10222400</v>
      </c>
      <c r="W84" s="4"/>
      <c r="X84" s="4"/>
      <c r="Y84" s="4"/>
      <c r="Z84" s="4"/>
      <c r="AA84" s="4"/>
      <c r="AB84" s="28" t="s">
        <v>1297</v>
      </c>
      <c r="AC84" s="3">
        <v>810000</v>
      </c>
      <c r="AD84" s="157"/>
      <c r="AE84" s="157"/>
      <c r="AF84" s="157"/>
      <c r="AG84" s="157"/>
      <c r="AH84" s="157"/>
      <c r="AI84" s="157"/>
    </row>
    <row r="85" spans="1:39" s="5" customFormat="1" ht="45" customHeight="1">
      <c r="A85" s="153">
        <f t="shared" si="1"/>
        <v>81</v>
      </c>
      <c r="B85" s="28">
        <v>2206</v>
      </c>
      <c r="C85" s="3" t="s">
        <v>546</v>
      </c>
      <c r="D85" s="297">
        <v>92000000</v>
      </c>
      <c r="E85" s="4">
        <v>4000000</v>
      </c>
      <c r="F85" s="4">
        <v>88000000</v>
      </c>
      <c r="G85" s="4">
        <v>1866551</v>
      </c>
      <c r="H85" s="4">
        <v>1445296</v>
      </c>
      <c r="I85" s="4">
        <v>0</v>
      </c>
      <c r="J85" s="4">
        <v>415003</v>
      </c>
      <c r="K85" s="154">
        <v>415003</v>
      </c>
      <c r="L85" s="154">
        <v>1860299</v>
      </c>
      <c r="M85" s="154">
        <v>6252</v>
      </c>
      <c r="N85" s="154">
        <v>13406636</v>
      </c>
      <c r="O85" s="4">
        <v>76726813</v>
      </c>
      <c r="P85" s="4">
        <v>6252</v>
      </c>
      <c r="Q85" s="4"/>
      <c r="R85" s="4"/>
      <c r="S85" s="154">
        <v>0</v>
      </c>
      <c r="T85" s="154">
        <v>0</v>
      </c>
      <c r="U85" s="154">
        <v>13406636</v>
      </c>
      <c r="V85" s="154">
        <v>1000000</v>
      </c>
      <c r="W85" s="4"/>
      <c r="X85" s="4"/>
      <c r="Y85" s="4"/>
      <c r="Z85" s="4"/>
      <c r="AA85" s="4">
        <v>12406636</v>
      </c>
      <c r="AB85" s="29" t="s">
        <v>1298</v>
      </c>
      <c r="AC85" s="3">
        <v>810000</v>
      </c>
      <c r="AD85" s="157"/>
      <c r="AE85" s="157"/>
      <c r="AF85" s="157"/>
      <c r="AG85" s="157"/>
      <c r="AH85" s="157"/>
      <c r="AI85" s="157"/>
    </row>
    <row r="86" spans="1:39" s="5" customFormat="1" ht="45" customHeight="1">
      <c r="A86" s="153">
        <f t="shared" si="1"/>
        <v>82</v>
      </c>
      <c r="B86" s="28">
        <v>2207</v>
      </c>
      <c r="C86" s="3" t="s">
        <v>547</v>
      </c>
      <c r="D86" s="4">
        <v>500000</v>
      </c>
      <c r="E86" s="4">
        <v>500000</v>
      </c>
      <c r="F86" s="4">
        <v>0</v>
      </c>
      <c r="G86" s="4">
        <v>500000</v>
      </c>
      <c r="H86" s="4">
        <v>431699</v>
      </c>
      <c r="I86" s="4">
        <v>0</v>
      </c>
      <c r="J86" s="4">
        <v>23352</v>
      </c>
      <c r="K86" s="154">
        <v>23352</v>
      </c>
      <c r="L86" s="154">
        <v>455051</v>
      </c>
      <c r="M86" s="154">
        <v>44949</v>
      </c>
      <c r="N86" s="154"/>
      <c r="O86" s="4">
        <v>0</v>
      </c>
      <c r="P86" s="4">
        <v>44949</v>
      </c>
      <c r="Q86" s="4"/>
      <c r="R86" s="4"/>
      <c r="S86" s="154">
        <v>0</v>
      </c>
      <c r="T86" s="154">
        <v>0</v>
      </c>
      <c r="U86" s="154">
        <v>0</v>
      </c>
      <c r="V86" s="154">
        <v>0</v>
      </c>
      <c r="W86" s="4"/>
      <c r="X86" s="4"/>
      <c r="Y86" s="4"/>
      <c r="Z86" s="4"/>
      <c r="AA86" s="4"/>
      <c r="AB86" s="3" t="s">
        <v>1400</v>
      </c>
      <c r="AC86" s="419">
        <v>850000</v>
      </c>
      <c r="AD86" s="157"/>
      <c r="AE86" s="157"/>
      <c r="AF86" s="157"/>
      <c r="AG86" s="157"/>
      <c r="AH86" s="157"/>
      <c r="AI86" s="157"/>
    </row>
    <row r="87" spans="1:39" s="5" customFormat="1" ht="45" customHeight="1">
      <c r="A87" s="153">
        <f t="shared" si="1"/>
        <v>83</v>
      </c>
      <c r="B87" s="28">
        <v>2208</v>
      </c>
      <c r="C87" s="3" t="s">
        <v>548</v>
      </c>
      <c r="D87" s="297">
        <v>12750000</v>
      </c>
      <c r="E87" s="4">
        <v>500000</v>
      </c>
      <c r="F87" s="4">
        <v>12250000</v>
      </c>
      <c r="G87" s="4">
        <v>500000</v>
      </c>
      <c r="H87" s="4">
        <v>0</v>
      </c>
      <c r="I87" s="4">
        <v>0</v>
      </c>
      <c r="J87" s="4">
        <v>124020</v>
      </c>
      <c r="K87" s="154">
        <v>124020</v>
      </c>
      <c r="L87" s="154">
        <v>124020</v>
      </c>
      <c r="M87" s="154">
        <v>375980</v>
      </c>
      <c r="N87" s="154">
        <v>250000</v>
      </c>
      <c r="O87" s="4">
        <v>12000000</v>
      </c>
      <c r="P87" s="4">
        <v>375980</v>
      </c>
      <c r="Q87" s="4"/>
      <c r="R87" s="4"/>
      <c r="S87" s="154">
        <v>0</v>
      </c>
      <c r="T87" s="154">
        <v>0</v>
      </c>
      <c r="U87" s="154">
        <v>250000</v>
      </c>
      <c r="V87" s="154">
        <v>250000</v>
      </c>
      <c r="W87" s="4"/>
      <c r="X87" s="4"/>
      <c r="Y87" s="4"/>
      <c r="Z87" s="4"/>
      <c r="AA87" s="4"/>
      <c r="AB87" s="3" t="s">
        <v>625</v>
      </c>
      <c r="AC87" s="419">
        <v>850000</v>
      </c>
      <c r="AD87" s="157"/>
      <c r="AE87" s="157"/>
      <c r="AF87" s="157"/>
      <c r="AG87" s="157"/>
      <c r="AH87" s="157"/>
      <c r="AI87" s="157"/>
    </row>
    <row r="88" spans="1:39" s="5" customFormat="1" ht="45" customHeight="1">
      <c r="A88" s="153">
        <f t="shared" si="1"/>
        <v>84</v>
      </c>
      <c r="B88" s="28">
        <v>2209</v>
      </c>
      <c r="C88" s="3" t="s">
        <v>549</v>
      </c>
      <c r="D88" s="4">
        <v>46500000</v>
      </c>
      <c r="E88" s="4">
        <v>46500000</v>
      </c>
      <c r="F88" s="4">
        <v>0</v>
      </c>
      <c r="G88" s="4">
        <v>500000</v>
      </c>
      <c r="H88" s="4">
        <v>384569</v>
      </c>
      <c r="I88" s="4">
        <v>0</v>
      </c>
      <c r="J88" s="4">
        <v>95673</v>
      </c>
      <c r="K88" s="154">
        <v>95673</v>
      </c>
      <c r="L88" s="154">
        <v>480242</v>
      </c>
      <c r="M88" s="154">
        <v>1019758</v>
      </c>
      <c r="N88" s="154"/>
      <c r="O88" s="4">
        <v>45000000</v>
      </c>
      <c r="P88" s="4">
        <v>19758</v>
      </c>
      <c r="Q88" s="435">
        <v>1000000</v>
      </c>
      <c r="R88" s="4"/>
      <c r="S88" s="154">
        <v>1000000</v>
      </c>
      <c r="T88" s="154">
        <v>0</v>
      </c>
      <c r="U88" s="154">
        <v>0</v>
      </c>
      <c r="V88" s="154">
        <v>0</v>
      </c>
      <c r="W88" s="4"/>
      <c r="X88" s="4"/>
      <c r="Y88" s="4"/>
      <c r="Z88" s="4"/>
      <c r="AA88" s="4">
        <v>0</v>
      </c>
      <c r="AB88" s="28" t="s">
        <v>1299</v>
      </c>
      <c r="AC88" s="3">
        <v>810000</v>
      </c>
      <c r="AD88" s="157"/>
      <c r="AE88" s="157"/>
      <c r="AF88" s="157"/>
      <c r="AG88" s="157"/>
      <c r="AH88" s="157"/>
      <c r="AI88" s="157"/>
    </row>
    <row r="89" spans="1:39" s="383" customFormat="1" ht="45" customHeight="1">
      <c r="A89" s="153">
        <f t="shared" si="1"/>
        <v>85</v>
      </c>
      <c r="B89" s="230">
        <v>2213</v>
      </c>
      <c r="C89" s="3" t="s">
        <v>508</v>
      </c>
      <c r="D89" s="4">
        <v>7100000</v>
      </c>
      <c r="E89" s="4">
        <v>7100000</v>
      </c>
      <c r="F89" s="4">
        <v>0</v>
      </c>
      <c r="G89" s="4">
        <v>7100000</v>
      </c>
      <c r="H89" s="4">
        <v>14882</v>
      </c>
      <c r="I89" s="4">
        <v>109137</v>
      </c>
      <c r="J89" s="154">
        <v>124020</v>
      </c>
      <c r="K89" s="154">
        <v>233157</v>
      </c>
      <c r="L89" s="154">
        <v>248039</v>
      </c>
      <c r="M89" s="154">
        <v>6851961</v>
      </c>
      <c r="N89" s="4"/>
      <c r="O89" s="4">
        <v>0</v>
      </c>
      <c r="P89" s="4">
        <v>6851961</v>
      </c>
      <c r="Q89" s="18"/>
      <c r="R89" s="18"/>
      <c r="S89" s="4">
        <v>0</v>
      </c>
      <c r="T89" s="4">
        <v>0</v>
      </c>
      <c r="U89" s="4">
        <v>0</v>
      </c>
      <c r="V89" s="4"/>
      <c r="W89" s="4">
        <v>0</v>
      </c>
      <c r="X89" s="4"/>
      <c r="Y89" s="4"/>
      <c r="Z89" s="4"/>
      <c r="AA89" s="4"/>
      <c r="AB89" s="3" t="s">
        <v>1300</v>
      </c>
      <c r="AC89" s="3">
        <v>870000</v>
      </c>
      <c r="AD89" s="157"/>
      <c r="AE89" s="157"/>
      <c r="AF89" s="157"/>
      <c r="AG89" s="157"/>
      <c r="AH89" s="157"/>
      <c r="AI89" s="157"/>
    </row>
    <row r="90" spans="1:39" s="5" customFormat="1" ht="45" customHeight="1">
      <c r="A90" s="153">
        <f t="shared" si="1"/>
        <v>86</v>
      </c>
      <c r="B90" s="28">
        <v>2220</v>
      </c>
      <c r="C90" s="3" t="s">
        <v>524</v>
      </c>
      <c r="D90" s="4">
        <v>2200000</v>
      </c>
      <c r="E90" s="4">
        <v>1000000</v>
      </c>
      <c r="F90" s="4">
        <v>1200000</v>
      </c>
      <c r="G90" s="4">
        <v>50000</v>
      </c>
      <c r="H90" s="4">
        <v>9170</v>
      </c>
      <c r="I90" s="4">
        <v>0</v>
      </c>
      <c r="J90" s="4">
        <v>40437</v>
      </c>
      <c r="K90" s="154">
        <v>40437</v>
      </c>
      <c r="L90" s="154">
        <v>49607</v>
      </c>
      <c r="M90" s="154">
        <v>950393</v>
      </c>
      <c r="N90" s="4">
        <v>1200000</v>
      </c>
      <c r="O90" s="4">
        <v>0</v>
      </c>
      <c r="P90" s="4">
        <v>393</v>
      </c>
      <c r="Q90" s="435">
        <v>950000</v>
      </c>
      <c r="R90" s="4"/>
      <c r="S90" s="4">
        <v>950000</v>
      </c>
      <c r="T90" s="4">
        <v>0</v>
      </c>
      <c r="U90" s="4">
        <v>1200000</v>
      </c>
      <c r="V90" s="4">
        <v>1200000</v>
      </c>
      <c r="W90" s="4"/>
      <c r="X90" s="4"/>
      <c r="Y90" s="4"/>
      <c r="Z90" s="4"/>
      <c r="AA90" s="4"/>
      <c r="AB90" s="3" t="s">
        <v>795</v>
      </c>
      <c r="AC90" s="3">
        <v>746000</v>
      </c>
      <c r="AD90" s="157"/>
      <c r="AE90" s="157"/>
      <c r="AF90" s="157"/>
      <c r="AG90" s="157"/>
      <c r="AH90" s="157"/>
      <c r="AI90" s="157"/>
    </row>
    <row r="91" spans="1:39" s="5" customFormat="1" ht="45" customHeight="1">
      <c r="A91" s="153">
        <f t="shared" si="1"/>
        <v>87</v>
      </c>
      <c r="B91" s="28">
        <v>2232</v>
      </c>
      <c r="C91" s="3" t="s">
        <v>676</v>
      </c>
      <c r="D91" s="4">
        <v>17200000</v>
      </c>
      <c r="E91" s="4">
        <v>17200000</v>
      </c>
      <c r="F91" s="4">
        <v>0</v>
      </c>
      <c r="G91" s="4">
        <v>500000</v>
      </c>
      <c r="H91" s="4">
        <v>403686</v>
      </c>
      <c r="I91" s="4">
        <v>0</v>
      </c>
      <c r="J91" s="4">
        <v>92394</v>
      </c>
      <c r="K91" s="154">
        <v>92394</v>
      </c>
      <c r="L91" s="154">
        <v>496080</v>
      </c>
      <c r="M91" s="154">
        <v>3920</v>
      </c>
      <c r="N91" s="4">
        <v>100000</v>
      </c>
      <c r="O91" s="4">
        <v>16600000</v>
      </c>
      <c r="P91" s="4">
        <v>3920</v>
      </c>
      <c r="Q91" s="4"/>
      <c r="R91" s="4"/>
      <c r="S91" s="4">
        <v>0</v>
      </c>
      <c r="T91" s="4">
        <v>0</v>
      </c>
      <c r="U91" s="4">
        <v>100000</v>
      </c>
      <c r="V91" s="4">
        <v>100000</v>
      </c>
      <c r="W91" s="4"/>
      <c r="X91" s="4"/>
      <c r="Y91" s="4"/>
      <c r="Z91" s="4"/>
      <c r="AA91" s="4"/>
      <c r="AB91" s="3" t="s">
        <v>1301</v>
      </c>
      <c r="AC91" s="3">
        <v>745000</v>
      </c>
      <c r="AD91" s="157"/>
      <c r="AE91" s="157"/>
      <c r="AF91" s="157"/>
      <c r="AG91" s="157"/>
      <c r="AH91" s="157"/>
      <c r="AI91" s="157"/>
    </row>
    <row r="92" spans="1:39" s="5" customFormat="1" ht="45" customHeight="1">
      <c r="A92" s="153">
        <f t="shared" si="1"/>
        <v>88</v>
      </c>
      <c r="B92" s="28">
        <v>2233</v>
      </c>
      <c r="C92" s="3" t="s">
        <v>677</v>
      </c>
      <c r="D92" s="4">
        <v>20250000</v>
      </c>
      <c r="E92" s="4">
        <v>20250000</v>
      </c>
      <c r="F92" s="4">
        <v>0</v>
      </c>
      <c r="G92" s="4">
        <v>500000</v>
      </c>
      <c r="H92" s="4">
        <v>176542</v>
      </c>
      <c r="I92" s="4">
        <v>0</v>
      </c>
      <c r="J92" s="4">
        <v>133508</v>
      </c>
      <c r="K92" s="154">
        <v>133508</v>
      </c>
      <c r="L92" s="154">
        <v>310050</v>
      </c>
      <c r="M92" s="154">
        <v>189950</v>
      </c>
      <c r="N92" s="4">
        <v>0</v>
      </c>
      <c r="O92" s="4">
        <v>19750000</v>
      </c>
      <c r="P92" s="4">
        <v>189950</v>
      </c>
      <c r="Q92" s="4"/>
      <c r="R92" s="4"/>
      <c r="S92" s="4">
        <v>0</v>
      </c>
      <c r="T92" s="4">
        <v>0</v>
      </c>
      <c r="U92" s="4">
        <v>0</v>
      </c>
      <c r="V92" s="4">
        <v>0</v>
      </c>
      <c r="W92" s="4"/>
      <c r="X92" s="4"/>
      <c r="Y92" s="4"/>
      <c r="Z92" s="4"/>
      <c r="AA92" s="4"/>
      <c r="AB92" s="3" t="s">
        <v>1302</v>
      </c>
      <c r="AC92" s="3">
        <v>745000</v>
      </c>
      <c r="AD92" s="157"/>
      <c r="AE92" s="157"/>
      <c r="AF92" s="157"/>
      <c r="AG92" s="157"/>
      <c r="AH92" s="157"/>
      <c r="AI92" s="157"/>
    </row>
    <row r="93" spans="1:39" s="5" customFormat="1" ht="45" customHeight="1">
      <c r="A93" s="3">
        <f t="shared" si="1"/>
        <v>89</v>
      </c>
      <c r="B93" s="28">
        <v>20004</v>
      </c>
      <c r="C93" s="3" t="s">
        <v>690</v>
      </c>
      <c r="D93" s="4">
        <v>24750000</v>
      </c>
      <c r="E93" s="4">
        <v>24750000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250000</v>
      </c>
      <c r="N93" s="4"/>
      <c r="O93" s="4">
        <v>24500000</v>
      </c>
      <c r="P93" s="4"/>
      <c r="Q93" s="435">
        <v>250000</v>
      </c>
      <c r="R93" s="4"/>
      <c r="S93" s="4">
        <v>250000</v>
      </c>
      <c r="T93" s="4"/>
      <c r="U93" s="4">
        <v>0</v>
      </c>
      <c r="V93" s="4">
        <v>0</v>
      </c>
      <c r="W93" s="4"/>
      <c r="X93" s="4"/>
      <c r="Y93" s="4"/>
      <c r="Z93" s="4"/>
      <c r="AA93" s="4"/>
      <c r="AB93" s="3" t="s">
        <v>1303</v>
      </c>
      <c r="AC93" s="3">
        <v>742000</v>
      </c>
      <c r="AD93" s="157"/>
      <c r="AE93" s="157"/>
      <c r="AF93" s="157"/>
      <c r="AG93" s="157"/>
      <c r="AH93" s="299"/>
      <c r="AI93" s="299"/>
      <c r="AJ93" s="299"/>
      <c r="AK93" s="27"/>
      <c r="AL93" s="27"/>
      <c r="AM93" s="27"/>
    </row>
    <row r="94" spans="1:39" s="5" customFormat="1" ht="45" customHeight="1">
      <c r="A94" s="3">
        <f t="shared" si="1"/>
        <v>90</v>
      </c>
      <c r="B94" s="28">
        <v>20010</v>
      </c>
      <c r="C94" s="3" t="s">
        <v>752</v>
      </c>
      <c r="D94" s="4">
        <v>7000000</v>
      </c>
      <c r="E94" s="4">
        <v>7000000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154">
        <v>0</v>
      </c>
      <c r="L94" s="154">
        <v>0</v>
      </c>
      <c r="M94" s="154">
        <v>500000</v>
      </c>
      <c r="N94" s="4"/>
      <c r="O94" s="4">
        <v>6500000</v>
      </c>
      <c r="P94" s="4">
        <v>0</v>
      </c>
      <c r="Q94" s="435">
        <v>500000</v>
      </c>
      <c r="R94" s="4"/>
      <c r="S94" s="4">
        <v>500000</v>
      </c>
      <c r="T94" s="4">
        <v>0</v>
      </c>
      <c r="U94" s="4">
        <v>0</v>
      </c>
      <c r="V94" s="4">
        <v>0</v>
      </c>
      <c r="W94" s="4"/>
      <c r="X94" s="4"/>
      <c r="Y94" s="4"/>
      <c r="Z94" s="4"/>
      <c r="AA94" s="4"/>
      <c r="AB94" s="3" t="s">
        <v>821</v>
      </c>
      <c r="AC94" s="3">
        <v>810000</v>
      </c>
      <c r="AD94" s="157"/>
      <c r="AE94" s="157"/>
      <c r="AF94" s="157"/>
      <c r="AG94" s="157"/>
      <c r="AH94" s="157"/>
      <c r="AI94" s="157"/>
    </row>
    <row r="95" spans="1:39" s="5" customFormat="1" ht="45" customHeight="1">
      <c r="A95" s="153">
        <f t="shared" si="1"/>
        <v>91</v>
      </c>
      <c r="B95" s="28">
        <v>20011</v>
      </c>
      <c r="C95" s="3" t="s">
        <v>753</v>
      </c>
      <c r="D95" s="4">
        <v>18500000</v>
      </c>
      <c r="E95" s="4">
        <v>18500000</v>
      </c>
      <c r="F95" s="4">
        <v>0</v>
      </c>
      <c r="G95" s="4">
        <v>200000</v>
      </c>
      <c r="H95" s="4">
        <v>59530</v>
      </c>
      <c r="I95" s="4">
        <v>0</v>
      </c>
      <c r="J95" s="4">
        <v>64490</v>
      </c>
      <c r="K95" s="154">
        <v>64490</v>
      </c>
      <c r="L95" s="154">
        <v>124020</v>
      </c>
      <c r="M95" s="154">
        <v>375980</v>
      </c>
      <c r="N95" s="4">
        <v>500000</v>
      </c>
      <c r="O95" s="4">
        <v>17500000</v>
      </c>
      <c r="P95" s="4">
        <v>75980</v>
      </c>
      <c r="Q95" s="435">
        <v>300000</v>
      </c>
      <c r="R95" s="4"/>
      <c r="S95" s="4">
        <v>300000</v>
      </c>
      <c r="T95" s="4">
        <v>0</v>
      </c>
      <c r="U95" s="4">
        <v>500000</v>
      </c>
      <c r="V95" s="4">
        <v>500000</v>
      </c>
      <c r="W95" s="4"/>
      <c r="X95" s="4"/>
      <c r="Y95" s="4"/>
      <c r="Z95" s="4"/>
      <c r="AA95" s="4">
        <v>0</v>
      </c>
      <c r="AB95" s="3" t="s">
        <v>788</v>
      </c>
      <c r="AC95" s="3">
        <v>810000</v>
      </c>
      <c r="AD95" s="157"/>
      <c r="AE95" s="157"/>
      <c r="AF95" s="157"/>
      <c r="AG95" s="157"/>
      <c r="AH95" s="157"/>
      <c r="AI95" s="157"/>
    </row>
    <row r="96" spans="1:39" s="5" customFormat="1" ht="45" customHeight="1">
      <c r="A96" s="153">
        <f t="shared" si="1"/>
        <v>92</v>
      </c>
      <c r="B96" s="28">
        <v>20013</v>
      </c>
      <c r="C96" s="3" t="s">
        <v>909</v>
      </c>
      <c r="D96" s="297">
        <v>1000000</v>
      </c>
      <c r="E96" s="4">
        <v>500000</v>
      </c>
      <c r="F96" s="4">
        <v>500000</v>
      </c>
      <c r="G96" s="4">
        <v>150000</v>
      </c>
      <c r="H96" s="4">
        <v>8393</v>
      </c>
      <c r="I96" s="4">
        <v>0</v>
      </c>
      <c r="J96" s="4">
        <v>115627</v>
      </c>
      <c r="K96" s="154">
        <v>115627</v>
      </c>
      <c r="L96" s="154">
        <v>124020</v>
      </c>
      <c r="M96" s="154">
        <v>25980</v>
      </c>
      <c r="N96" s="4">
        <v>850000</v>
      </c>
      <c r="O96" s="4">
        <v>0</v>
      </c>
      <c r="P96" s="4">
        <v>25980</v>
      </c>
      <c r="Q96" s="4"/>
      <c r="R96" s="4"/>
      <c r="S96" s="4">
        <v>0</v>
      </c>
      <c r="T96" s="4">
        <v>0</v>
      </c>
      <c r="U96" s="4">
        <v>850000</v>
      </c>
      <c r="V96" s="4">
        <v>850000</v>
      </c>
      <c r="W96" s="4"/>
      <c r="X96" s="4"/>
      <c r="Y96" s="4"/>
      <c r="Z96" s="4"/>
      <c r="AA96" s="4"/>
      <c r="AB96" s="3" t="s">
        <v>790</v>
      </c>
      <c r="AC96" s="3">
        <v>810000</v>
      </c>
      <c r="AD96" s="157"/>
      <c r="AE96" s="157"/>
      <c r="AF96" s="157"/>
      <c r="AG96" s="157"/>
      <c r="AH96" s="157"/>
      <c r="AI96" s="157"/>
    </row>
    <row r="97" spans="1:39" s="5" customFormat="1" ht="45" customHeight="1">
      <c r="A97" s="153">
        <f t="shared" si="1"/>
        <v>93</v>
      </c>
      <c r="B97" s="28">
        <v>20014</v>
      </c>
      <c r="C97" s="3" t="s">
        <v>1176</v>
      </c>
      <c r="D97" s="297">
        <v>800000</v>
      </c>
      <c r="E97" s="4">
        <v>200000</v>
      </c>
      <c r="F97" s="4">
        <v>600000</v>
      </c>
      <c r="G97" s="4">
        <v>100000</v>
      </c>
      <c r="H97" s="4">
        <v>0</v>
      </c>
      <c r="I97" s="4">
        <v>0</v>
      </c>
      <c r="J97" s="4">
        <v>0</v>
      </c>
      <c r="K97" s="154">
        <v>0</v>
      </c>
      <c r="L97" s="154">
        <v>0</v>
      </c>
      <c r="M97" s="154">
        <v>100000</v>
      </c>
      <c r="N97" s="4">
        <v>200000</v>
      </c>
      <c r="O97" s="4">
        <v>500000</v>
      </c>
      <c r="P97" s="4">
        <v>100000</v>
      </c>
      <c r="Q97" s="4"/>
      <c r="R97" s="4"/>
      <c r="S97" s="4">
        <v>0</v>
      </c>
      <c r="T97" s="4">
        <v>0</v>
      </c>
      <c r="U97" s="4">
        <v>200000</v>
      </c>
      <c r="V97" s="4">
        <v>200000</v>
      </c>
      <c r="W97" s="4"/>
      <c r="X97" s="4"/>
      <c r="Y97" s="4"/>
      <c r="Z97" s="4"/>
      <c r="AA97" s="4"/>
      <c r="AB97" s="3" t="s">
        <v>1304</v>
      </c>
      <c r="AC97" s="3">
        <v>829000</v>
      </c>
      <c r="AD97" s="157"/>
      <c r="AE97" s="157"/>
      <c r="AF97" s="157"/>
      <c r="AG97" s="157"/>
      <c r="AH97" s="157"/>
      <c r="AI97" s="157"/>
    </row>
    <row r="98" spans="1:39" s="5" customFormat="1" ht="45" customHeight="1">
      <c r="A98" s="153">
        <f t="shared" si="1"/>
        <v>94</v>
      </c>
      <c r="B98" s="28">
        <v>20015</v>
      </c>
      <c r="C98" s="3" t="s">
        <v>756</v>
      </c>
      <c r="D98" s="297">
        <v>2500000</v>
      </c>
      <c r="E98" s="4">
        <v>2000000</v>
      </c>
      <c r="F98" s="4">
        <v>500000</v>
      </c>
      <c r="G98" s="4">
        <v>1100000</v>
      </c>
      <c r="H98" s="4">
        <v>286195</v>
      </c>
      <c r="I98" s="4">
        <v>0</v>
      </c>
      <c r="J98" s="4">
        <v>50950</v>
      </c>
      <c r="K98" s="154">
        <v>50950</v>
      </c>
      <c r="L98" s="154">
        <v>337145</v>
      </c>
      <c r="M98" s="154">
        <v>1662855</v>
      </c>
      <c r="N98" s="4">
        <v>500000</v>
      </c>
      <c r="O98" s="4">
        <v>0</v>
      </c>
      <c r="P98" s="4">
        <v>762855</v>
      </c>
      <c r="Q98" s="435">
        <v>400000</v>
      </c>
      <c r="R98" s="435">
        <v>500000</v>
      </c>
      <c r="S98" s="4">
        <v>900000</v>
      </c>
      <c r="T98" s="4">
        <v>0</v>
      </c>
      <c r="U98" s="4">
        <v>500000</v>
      </c>
      <c r="V98" s="4">
        <v>500000</v>
      </c>
      <c r="W98" s="4"/>
      <c r="X98" s="4"/>
      <c r="Y98" s="4"/>
      <c r="Z98" s="4"/>
      <c r="AA98" s="4"/>
      <c r="AB98" s="3" t="s">
        <v>805</v>
      </c>
      <c r="AC98" s="3">
        <v>829000</v>
      </c>
      <c r="AD98" s="157"/>
      <c r="AE98" s="157"/>
      <c r="AF98" s="157"/>
      <c r="AG98" s="157"/>
      <c r="AH98" s="157"/>
      <c r="AI98" s="157"/>
    </row>
    <row r="99" spans="1:39" s="5" customFormat="1" ht="45" customHeight="1">
      <c r="A99" s="153">
        <f t="shared" si="1"/>
        <v>95</v>
      </c>
      <c r="B99" s="28">
        <v>20016</v>
      </c>
      <c r="C99" s="3" t="s">
        <v>802</v>
      </c>
      <c r="D99" s="297">
        <v>1000000</v>
      </c>
      <c r="E99" s="4">
        <v>700000</v>
      </c>
      <c r="F99" s="4">
        <v>300000</v>
      </c>
      <c r="G99" s="4">
        <v>150000</v>
      </c>
      <c r="H99" s="4">
        <v>13950</v>
      </c>
      <c r="I99" s="4">
        <v>0</v>
      </c>
      <c r="J99" s="4">
        <v>110070</v>
      </c>
      <c r="K99" s="154">
        <v>110070</v>
      </c>
      <c r="L99" s="154">
        <v>124020</v>
      </c>
      <c r="M99" s="154">
        <v>375980</v>
      </c>
      <c r="N99" s="4">
        <v>500000</v>
      </c>
      <c r="O99" s="4">
        <v>0</v>
      </c>
      <c r="P99" s="4">
        <v>25980</v>
      </c>
      <c r="Q99" s="435">
        <v>350000</v>
      </c>
      <c r="R99" s="4"/>
      <c r="S99" s="4">
        <v>350000</v>
      </c>
      <c r="T99" s="4">
        <v>0</v>
      </c>
      <c r="U99" s="4">
        <v>500000</v>
      </c>
      <c r="V99" s="4">
        <v>500000</v>
      </c>
      <c r="W99" s="4"/>
      <c r="X99" s="4"/>
      <c r="Y99" s="4"/>
      <c r="Z99" s="4"/>
      <c r="AA99" s="4"/>
      <c r="AB99" s="3" t="s">
        <v>799</v>
      </c>
      <c r="AC99" s="3">
        <v>826000</v>
      </c>
      <c r="AD99" s="157"/>
      <c r="AE99" s="157"/>
      <c r="AF99" s="157"/>
      <c r="AG99" s="157"/>
      <c r="AH99" s="157"/>
      <c r="AI99" s="157"/>
    </row>
    <row r="100" spans="1:39" s="5" customFormat="1" ht="45" customHeight="1">
      <c r="A100" s="153">
        <f t="shared" si="1"/>
        <v>96</v>
      </c>
      <c r="B100" s="28">
        <v>20017</v>
      </c>
      <c r="C100" s="3" t="s">
        <v>910</v>
      </c>
      <c r="D100" s="4">
        <v>10000000</v>
      </c>
      <c r="E100" s="4">
        <v>10000000</v>
      </c>
      <c r="F100" s="4">
        <v>0</v>
      </c>
      <c r="G100" s="4">
        <v>350000</v>
      </c>
      <c r="H100" s="4">
        <v>28649</v>
      </c>
      <c r="I100" s="4">
        <v>0</v>
      </c>
      <c r="J100" s="4">
        <v>95371</v>
      </c>
      <c r="K100" s="154">
        <v>95371</v>
      </c>
      <c r="L100" s="154">
        <v>124020</v>
      </c>
      <c r="M100" s="154">
        <v>225980</v>
      </c>
      <c r="N100" s="4">
        <v>2000000</v>
      </c>
      <c r="O100" s="4">
        <v>7650000</v>
      </c>
      <c r="P100" s="4">
        <v>225980</v>
      </c>
      <c r="Q100" s="4"/>
      <c r="R100" s="4"/>
      <c r="S100" s="4">
        <v>0</v>
      </c>
      <c r="T100" s="4">
        <v>0</v>
      </c>
      <c r="U100" s="4">
        <v>2000000</v>
      </c>
      <c r="V100" s="4">
        <v>2000000</v>
      </c>
      <c r="W100" s="4"/>
      <c r="X100" s="4"/>
      <c r="Y100" s="4"/>
      <c r="Z100" s="4"/>
      <c r="AA100" s="4"/>
      <c r="AB100" s="3" t="s">
        <v>911</v>
      </c>
      <c r="AC100" s="3">
        <v>850000</v>
      </c>
      <c r="AD100" s="157"/>
      <c r="AE100" s="157"/>
      <c r="AF100" s="157"/>
      <c r="AG100" s="157"/>
      <c r="AH100" s="157"/>
      <c r="AI100" s="157"/>
    </row>
    <row r="101" spans="1:39" s="5" customFormat="1" ht="45" customHeight="1">
      <c r="A101" s="153">
        <f t="shared" si="1"/>
        <v>97</v>
      </c>
      <c r="B101" s="28">
        <v>20018</v>
      </c>
      <c r="C101" s="3" t="s">
        <v>800</v>
      </c>
      <c r="D101" s="297">
        <v>1000000</v>
      </c>
      <c r="E101" s="4">
        <v>1000000</v>
      </c>
      <c r="F101" s="4">
        <v>0</v>
      </c>
      <c r="G101" s="4">
        <v>150000</v>
      </c>
      <c r="H101" s="4">
        <v>57992</v>
      </c>
      <c r="I101" s="4">
        <v>0</v>
      </c>
      <c r="J101" s="4">
        <v>66028</v>
      </c>
      <c r="K101" s="154">
        <v>66028</v>
      </c>
      <c r="L101" s="154">
        <v>124020</v>
      </c>
      <c r="M101" s="154">
        <v>875980</v>
      </c>
      <c r="N101" s="4">
        <v>0</v>
      </c>
      <c r="O101" s="4">
        <v>0</v>
      </c>
      <c r="P101" s="4">
        <v>25980</v>
      </c>
      <c r="Q101" s="4"/>
      <c r="R101" s="435">
        <v>850000</v>
      </c>
      <c r="S101" s="4">
        <v>850000</v>
      </c>
      <c r="T101" s="4">
        <v>0</v>
      </c>
      <c r="U101" s="4">
        <v>0</v>
      </c>
      <c r="V101" s="4">
        <v>0</v>
      </c>
      <c r="W101" s="4"/>
      <c r="X101" s="4"/>
      <c r="Y101" s="4"/>
      <c r="Z101" s="4"/>
      <c r="AA101" s="4"/>
      <c r="AB101" s="3" t="s">
        <v>801</v>
      </c>
      <c r="AC101" s="3">
        <v>826000</v>
      </c>
      <c r="AD101" s="157"/>
      <c r="AE101" s="157"/>
      <c r="AF101" s="157"/>
      <c r="AG101" s="157"/>
      <c r="AH101" s="157"/>
      <c r="AI101" s="157"/>
    </row>
    <row r="102" spans="1:39" s="383" customFormat="1" ht="45" customHeight="1">
      <c r="A102" s="153">
        <f t="shared" si="1"/>
        <v>98</v>
      </c>
      <c r="B102" s="28">
        <v>20024</v>
      </c>
      <c r="C102" s="3" t="s">
        <v>867</v>
      </c>
      <c r="D102" s="4">
        <v>1130000</v>
      </c>
      <c r="E102" s="4">
        <v>1300000</v>
      </c>
      <c r="F102" s="4">
        <v>-170000</v>
      </c>
      <c r="G102" s="4">
        <v>1130000</v>
      </c>
      <c r="H102" s="4">
        <v>532530</v>
      </c>
      <c r="I102" s="4">
        <v>0</v>
      </c>
      <c r="J102" s="4">
        <v>211588</v>
      </c>
      <c r="K102" s="154">
        <v>211588</v>
      </c>
      <c r="L102" s="154">
        <v>744118</v>
      </c>
      <c r="M102" s="154">
        <v>385882</v>
      </c>
      <c r="N102" s="4"/>
      <c r="O102" s="4">
        <v>0</v>
      </c>
      <c r="P102" s="4">
        <v>385882</v>
      </c>
      <c r="Q102" s="4"/>
      <c r="R102" s="4"/>
      <c r="S102" s="4"/>
      <c r="T102" s="4">
        <v>0</v>
      </c>
      <c r="U102" s="4">
        <v>0</v>
      </c>
      <c r="V102" s="4"/>
      <c r="W102" s="4">
        <v>0</v>
      </c>
      <c r="X102" s="4"/>
      <c r="Y102" s="4"/>
      <c r="Z102" s="4"/>
      <c r="AA102" s="4"/>
      <c r="AB102" s="3" t="s">
        <v>1305</v>
      </c>
      <c r="AC102" s="3">
        <v>747000</v>
      </c>
      <c r="AD102" s="157"/>
      <c r="AE102" s="157"/>
      <c r="AF102" s="157"/>
      <c r="AG102" s="157"/>
      <c r="AH102" s="157"/>
      <c r="AI102" s="157"/>
    </row>
    <row r="103" spans="1:39" customFormat="1" ht="40.049999999999997" customHeight="1">
      <c r="A103" s="153">
        <f t="shared" si="1"/>
        <v>99</v>
      </c>
      <c r="B103" s="28">
        <v>20028</v>
      </c>
      <c r="C103" s="3" t="s">
        <v>797</v>
      </c>
      <c r="D103" s="4">
        <v>620000</v>
      </c>
      <c r="E103" s="4">
        <v>620000</v>
      </c>
      <c r="F103" s="4">
        <v>0</v>
      </c>
      <c r="G103" s="4">
        <v>620000</v>
      </c>
      <c r="H103" s="4">
        <v>20241</v>
      </c>
      <c r="I103" s="4">
        <v>0</v>
      </c>
      <c r="J103" s="4">
        <v>304014</v>
      </c>
      <c r="K103" s="4">
        <v>304014</v>
      </c>
      <c r="L103" s="4">
        <v>324255</v>
      </c>
      <c r="M103" s="4">
        <v>295745</v>
      </c>
      <c r="N103" s="4">
        <v>0</v>
      </c>
      <c r="O103" s="4">
        <v>0</v>
      </c>
      <c r="P103" s="4">
        <v>295745</v>
      </c>
      <c r="Q103" s="4"/>
      <c r="R103" s="4"/>
      <c r="S103" s="4">
        <v>0</v>
      </c>
      <c r="T103" s="4">
        <v>0</v>
      </c>
      <c r="U103" s="4">
        <v>0</v>
      </c>
      <c r="V103" s="4"/>
      <c r="W103" s="4">
        <v>0</v>
      </c>
      <c r="X103" s="4"/>
      <c r="Y103" s="4"/>
      <c r="Z103" s="4"/>
      <c r="AA103" s="4"/>
      <c r="AB103" s="3" t="s">
        <v>757</v>
      </c>
      <c r="AC103" s="3">
        <v>810000</v>
      </c>
    </row>
    <row r="104" spans="1:39" s="5" customFormat="1" ht="55.2">
      <c r="A104" s="153">
        <f t="shared" si="1"/>
        <v>100</v>
      </c>
      <c r="B104" s="28">
        <v>20063</v>
      </c>
      <c r="C104" s="3" t="s">
        <v>1525</v>
      </c>
      <c r="D104" s="4">
        <v>1000000</v>
      </c>
      <c r="E104" s="4"/>
      <c r="F104" s="4">
        <v>1000000</v>
      </c>
      <c r="G104" s="4">
        <v>0</v>
      </c>
      <c r="H104" s="4">
        <v>0</v>
      </c>
      <c r="I104" s="4">
        <v>0</v>
      </c>
      <c r="J104" s="4">
        <v>0</v>
      </c>
      <c r="K104" s="4"/>
      <c r="L104" s="4"/>
      <c r="M104" s="4">
        <v>0</v>
      </c>
      <c r="N104" s="4">
        <v>500000</v>
      </c>
      <c r="O104" s="4">
        <v>500000</v>
      </c>
      <c r="P104" s="4"/>
      <c r="Q104" s="4"/>
      <c r="R104" s="4"/>
      <c r="S104" s="4"/>
      <c r="T104" s="4"/>
      <c r="U104" s="4">
        <v>500000</v>
      </c>
      <c r="V104" s="4">
        <v>500000</v>
      </c>
      <c r="W104" s="4"/>
      <c r="X104" s="4"/>
      <c r="Y104" s="4"/>
      <c r="Z104" s="4"/>
      <c r="AA104" s="4"/>
      <c r="AB104" s="3" t="s">
        <v>1306</v>
      </c>
      <c r="AC104" s="3">
        <v>850000</v>
      </c>
      <c r="AD104" s="157"/>
      <c r="AE104" s="157"/>
      <c r="AF104" s="157"/>
      <c r="AG104" s="157"/>
      <c r="AH104" s="157"/>
      <c r="AI104" s="157"/>
    </row>
    <row r="105" spans="1:39" s="5" customFormat="1" ht="40.799999999999997" customHeight="1">
      <c r="A105" s="153">
        <f t="shared" si="1"/>
        <v>101</v>
      </c>
      <c r="B105" s="3">
        <v>20064</v>
      </c>
      <c r="C105" s="3" t="s">
        <v>1177</v>
      </c>
      <c r="D105" s="4">
        <v>2000000</v>
      </c>
      <c r="E105" s="4"/>
      <c r="F105" s="4">
        <v>2000000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500000</v>
      </c>
      <c r="O105" s="4">
        <v>1500000</v>
      </c>
      <c r="P105" s="4">
        <v>0</v>
      </c>
      <c r="Q105" s="4"/>
      <c r="R105" s="4"/>
      <c r="S105" s="4">
        <v>0</v>
      </c>
      <c r="T105" s="4">
        <v>0</v>
      </c>
      <c r="U105" s="4">
        <v>500000</v>
      </c>
      <c r="V105" s="4">
        <v>500000</v>
      </c>
      <c r="W105" s="4"/>
      <c r="X105" s="4"/>
      <c r="Y105" s="4"/>
      <c r="Z105" s="4"/>
      <c r="AA105" s="4"/>
      <c r="AB105" s="3" t="s">
        <v>1401</v>
      </c>
      <c r="AC105" s="3">
        <v>732000</v>
      </c>
      <c r="AD105" s="157"/>
      <c r="AE105" s="157"/>
      <c r="AF105" s="157"/>
      <c r="AG105" s="157"/>
      <c r="AH105" s="299"/>
      <c r="AI105" s="299"/>
      <c r="AJ105" s="299"/>
      <c r="AK105" s="27"/>
      <c r="AL105" s="27"/>
      <c r="AM105" s="27"/>
    </row>
    <row r="106" spans="1:39" s="244" customFormat="1" ht="45" customHeight="1">
      <c r="A106" s="159"/>
      <c r="B106" s="243"/>
      <c r="C106" s="159" t="s">
        <v>176</v>
      </c>
      <c r="D106" s="160">
        <v>2438188548</v>
      </c>
      <c r="E106" s="160">
        <v>2290913843</v>
      </c>
      <c r="F106" s="160">
        <v>147274705</v>
      </c>
      <c r="G106" s="160">
        <v>955367092</v>
      </c>
      <c r="H106" s="160">
        <v>725749716</v>
      </c>
      <c r="I106" s="160">
        <v>7701092</v>
      </c>
      <c r="J106" s="160">
        <v>29267714.210000001</v>
      </c>
      <c r="K106" s="160">
        <v>36968806.210000001</v>
      </c>
      <c r="L106" s="160">
        <v>762718522.21000004</v>
      </c>
      <c r="M106" s="160">
        <v>249753592.78999999</v>
      </c>
      <c r="N106" s="160">
        <v>212972948</v>
      </c>
      <c r="O106" s="160">
        <v>1212743485</v>
      </c>
      <c r="P106" s="160">
        <v>192648569.78999999</v>
      </c>
      <c r="Q106" s="160">
        <v>64955023</v>
      </c>
      <c r="R106" s="160">
        <v>6150000</v>
      </c>
      <c r="S106" s="160">
        <v>71105023</v>
      </c>
      <c r="T106" s="160">
        <v>14000000</v>
      </c>
      <c r="U106" s="160">
        <v>198972948</v>
      </c>
      <c r="V106" s="160">
        <v>142856028</v>
      </c>
      <c r="W106" s="160">
        <v>4500000</v>
      </c>
      <c r="X106" s="160">
        <v>0</v>
      </c>
      <c r="Y106" s="160">
        <v>0</v>
      </c>
      <c r="Z106" s="160">
        <v>0</v>
      </c>
      <c r="AA106" s="160">
        <v>51616920</v>
      </c>
      <c r="AB106" s="160">
        <f>SUM(AB5:AB47)</f>
        <v>0</v>
      </c>
      <c r="AC106" s="160"/>
      <c r="AD106" s="157"/>
      <c r="AE106" s="157"/>
      <c r="AF106" s="157"/>
      <c r="AG106" s="157"/>
      <c r="AH106" s="157"/>
      <c r="AI106" s="157"/>
    </row>
    <row r="107" spans="1:39" s="244" customFormat="1" ht="33" customHeight="1">
      <c r="A107" s="159"/>
      <c r="B107" s="243"/>
      <c r="C107" s="159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54">
        <v>0</v>
      </c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57"/>
      <c r="AE107" s="157"/>
      <c r="AF107" s="157"/>
      <c r="AG107" s="157"/>
      <c r="AH107" s="157"/>
      <c r="AI107" s="157"/>
    </row>
    <row r="108" spans="1:39" s="244" customFormat="1" ht="45" customHeight="1">
      <c r="A108" s="159"/>
      <c r="B108" s="243"/>
      <c r="C108" s="159" t="s">
        <v>131</v>
      </c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54">
        <v>0</v>
      </c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50"/>
      <c r="AC108" s="159"/>
      <c r="AD108" s="157"/>
      <c r="AE108" s="157"/>
      <c r="AF108" s="157"/>
      <c r="AG108" s="157"/>
      <c r="AH108" s="157"/>
      <c r="AI108" s="157"/>
    </row>
    <row r="109" spans="1:39" s="157" customFormat="1" ht="45" customHeight="1">
      <c r="A109" s="153">
        <f>A105+1</f>
        <v>102</v>
      </c>
      <c r="B109" s="153">
        <v>1547</v>
      </c>
      <c r="C109" s="153" t="s">
        <v>421</v>
      </c>
      <c r="D109" s="154">
        <v>144000000</v>
      </c>
      <c r="E109" s="154">
        <v>144000000</v>
      </c>
      <c r="F109" s="154">
        <v>0</v>
      </c>
      <c r="G109" s="154">
        <v>114000000</v>
      </c>
      <c r="H109" s="154">
        <v>105301695</v>
      </c>
      <c r="I109" s="154">
        <v>0</v>
      </c>
      <c r="J109" s="154">
        <v>1077191</v>
      </c>
      <c r="K109" s="154">
        <v>1077191</v>
      </c>
      <c r="L109" s="154">
        <v>106378886</v>
      </c>
      <c r="M109" s="154">
        <v>7621114</v>
      </c>
      <c r="N109" s="154"/>
      <c r="O109" s="154">
        <v>30000000</v>
      </c>
      <c r="P109" s="154">
        <v>7621114</v>
      </c>
      <c r="Q109" s="154"/>
      <c r="R109" s="154"/>
      <c r="S109" s="154">
        <v>0</v>
      </c>
      <c r="T109" s="154">
        <v>0</v>
      </c>
      <c r="U109" s="154">
        <v>0</v>
      </c>
      <c r="V109" s="154">
        <v>0</v>
      </c>
      <c r="W109" s="154"/>
      <c r="X109" s="154"/>
      <c r="Y109" s="154"/>
      <c r="Z109" s="154"/>
      <c r="AA109" s="300"/>
      <c r="AB109" s="153" t="s">
        <v>351</v>
      </c>
      <c r="AC109" s="153">
        <v>742000</v>
      </c>
    </row>
    <row r="110" spans="1:39" ht="45" customHeight="1">
      <c r="A110" s="153">
        <f t="shared" ref="A110:A121" si="2">A109+1</f>
        <v>103</v>
      </c>
      <c r="B110" s="241">
        <v>1827</v>
      </c>
      <c r="C110" s="153" t="s">
        <v>422</v>
      </c>
      <c r="D110" s="154">
        <v>100000000</v>
      </c>
      <c r="E110" s="154">
        <v>100000000</v>
      </c>
      <c r="F110" s="154">
        <v>0</v>
      </c>
      <c r="G110" s="154">
        <v>87320302</v>
      </c>
      <c r="H110" s="154">
        <v>82470616</v>
      </c>
      <c r="I110" s="154">
        <v>0</v>
      </c>
      <c r="J110" s="154">
        <v>1388471</v>
      </c>
      <c r="K110" s="154">
        <v>1388471</v>
      </c>
      <c r="L110" s="154">
        <v>83859087</v>
      </c>
      <c r="M110" s="154">
        <v>3461215</v>
      </c>
      <c r="N110" s="154">
        <v>12679698</v>
      </c>
      <c r="O110" s="154">
        <v>0</v>
      </c>
      <c r="P110" s="154">
        <v>3461215</v>
      </c>
      <c r="Q110" s="154"/>
      <c r="R110" s="154"/>
      <c r="S110" s="154">
        <v>0</v>
      </c>
      <c r="T110" s="154">
        <v>0</v>
      </c>
      <c r="U110" s="154">
        <v>12679698</v>
      </c>
      <c r="V110" s="154">
        <v>12679698</v>
      </c>
      <c r="W110" s="154"/>
      <c r="X110" s="154"/>
      <c r="Y110" s="154"/>
      <c r="Z110" s="154"/>
      <c r="AA110" s="154"/>
      <c r="AB110" s="153" t="s">
        <v>351</v>
      </c>
      <c r="AC110" s="153">
        <v>746000</v>
      </c>
    </row>
    <row r="111" spans="1:39" s="157" customFormat="1" ht="45" customHeight="1">
      <c r="A111" s="153">
        <f t="shared" si="2"/>
        <v>104</v>
      </c>
      <c r="B111" s="153">
        <v>1905</v>
      </c>
      <c r="C111" s="153" t="s">
        <v>107</v>
      </c>
      <c r="D111" s="154">
        <v>3366000</v>
      </c>
      <c r="E111" s="154">
        <v>3366000</v>
      </c>
      <c r="F111" s="154">
        <v>0</v>
      </c>
      <c r="G111" s="154">
        <v>3366000</v>
      </c>
      <c r="H111" s="154">
        <v>0</v>
      </c>
      <c r="I111" s="154"/>
      <c r="J111" s="154">
        <v>0</v>
      </c>
      <c r="K111" s="154">
        <v>0</v>
      </c>
      <c r="L111" s="154">
        <v>0</v>
      </c>
      <c r="M111" s="154">
        <v>3366000</v>
      </c>
      <c r="N111" s="154"/>
      <c r="O111" s="154">
        <v>0</v>
      </c>
      <c r="P111" s="154">
        <v>3366000</v>
      </c>
      <c r="Q111" s="154"/>
      <c r="R111" s="154"/>
      <c r="S111" s="154">
        <v>0</v>
      </c>
      <c r="T111" s="154">
        <v>0</v>
      </c>
      <c r="U111" s="154">
        <v>0</v>
      </c>
      <c r="V111" s="154">
        <v>0</v>
      </c>
      <c r="W111" s="154"/>
      <c r="X111" s="154"/>
      <c r="Y111" s="154"/>
      <c r="Z111" s="154"/>
      <c r="AA111" s="154"/>
      <c r="AB111" s="153" t="s">
        <v>356</v>
      </c>
      <c r="AC111" s="153">
        <v>746000</v>
      </c>
    </row>
    <row r="112" spans="1:39" s="157" customFormat="1" ht="45" customHeight="1">
      <c r="A112" s="153">
        <f t="shared" si="2"/>
        <v>105</v>
      </c>
      <c r="B112" s="153">
        <v>1908</v>
      </c>
      <c r="C112" s="153" t="s">
        <v>121</v>
      </c>
      <c r="D112" s="154">
        <v>19054496</v>
      </c>
      <c r="E112" s="154">
        <v>19054496</v>
      </c>
      <c r="F112" s="154">
        <v>0</v>
      </c>
      <c r="G112" s="154">
        <v>19054496</v>
      </c>
      <c r="H112" s="154">
        <v>17378626</v>
      </c>
      <c r="I112" s="154">
        <v>0</v>
      </c>
      <c r="J112" s="154">
        <v>525248</v>
      </c>
      <c r="K112" s="154">
        <v>525248</v>
      </c>
      <c r="L112" s="154">
        <v>17903874</v>
      </c>
      <c r="M112" s="154">
        <v>1150622</v>
      </c>
      <c r="N112" s="154"/>
      <c r="O112" s="154">
        <v>0</v>
      </c>
      <c r="P112" s="154">
        <v>1150622</v>
      </c>
      <c r="Q112" s="154"/>
      <c r="R112" s="154"/>
      <c r="S112" s="154">
        <v>0</v>
      </c>
      <c r="T112" s="154">
        <v>0</v>
      </c>
      <c r="U112" s="154">
        <v>0</v>
      </c>
      <c r="V112" s="154">
        <v>7432067</v>
      </c>
      <c r="W112" s="154"/>
      <c r="X112" s="154"/>
      <c r="Y112" s="154"/>
      <c r="Z112" s="154"/>
      <c r="AA112" s="154">
        <v>-7432067</v>
      </c>
      <c r="AB112" s="245" t="s">
        <v>1194</v>
      </c>
      <c r="AC112" s="153">
        <v>810000</v>
      </c>
    </row>
    <row r="113" spans="1:35" ht="45" customHeight="1">
      <c r="A113" s="153">
        <f t="shared" si="2"/>
        <v>106</v>
      </c>
      <c r="B113" s="241">
        <v>1909</v>
      </c>
      <c r="C113" s="153" t="s">
        <v>460</v>
      </c>
      <c r="D113" s="154">
        <v>184500000</v>
      </c>
      <c r="E113" s="154">
        <v>184500000</v>
      </c>
      <c r="F113" s="154">
        <v>0</v>
      </c>
      <c r="G113" s="154">
        <v>118424086</v>
      </c>
      <c r="H113" s="154">
        <v>118000448</v>
      </c>
      <c r="I113" s="154">
        <v>0</v>
      </c>
      <c r="J113" s="154">
        <v>344327</v>
      </c>
      <c r="K113" s="154">
        <v>344327</v>
      </c>
      <c r="L113" s="154">
        <v>118344775</v>
      </c>
      <c r="M113" s="154">
        <v>20079311</v>
      </c>
      <c r="N113" s="154">
        <v>25075914</v>
      </c>
      <c r="O113" s="154">
        <v>21000000</v>
      </c>
      <c r="P113" s="154">
        <v>79311</v>
      </c>
      <c r="Q113" s="435">
        <v>20000000</v>
      </c>
      <c r="R113" s="154"/>
      <c r="S113" s="154">
        <v>20000000</v>
      </c>
      <c r="T113" s="154">
        <v>0</v>
      </c>
      <c r="U113" s="154">
        <v>25075914</v>
      </c>
      <c r="V113" s="154">
        <v>25075914</v>
      </c>
      <c r="W113" s="154"/>
      <c r="X113" s="154"/>
      <c r="Y113" s="154"/>
      <c r="Z113" s="154"/>
      <c r="AA113" s="154"/>
      <c r="AB113" s="242" t="s">
        <v>863</v>
      </c>
      <c r="AC113" s="153">
        <v>810000</v>
      </c>
    </row>
    <row r="114" spans="1:35" ht="45" customHeight="1">
      <c r="A114" s="153">
        <f t="shared" si="2"/>
        <v>107</v>
      </c>
      <c r="B114" s="241">
        <v>1911</v>
      </c>
      <c r="C114" s="153" t="s">
        <v>280</v>
      </c>
      <c r="D114" s="154">
        <v>27236240</v>
      </c>
      <c r="E114" s="154">
        <v>29050000</v>
      </c>
      <c r="F114" s="154">
        <v>-1813760</v>
      </c>
      <c r="G114" s="154">
        <v>27236240</v>
      </c>
      <c r="H114" s="154">
        <v>25948209</v>
      </c>
      <c r="I114" s="154">
        <v>0</v>
      </c>
      <c r="J114" s="154">
        <v>499979</v>
      </c>
      <c r="K114" s="154">
        <v>499979</v>
      </c>
      <c r="L114" s="154">
        <v>26448188</v>
      </c>
      <c r="M114" s="154">
        <v>788052</v>
      </c>
      <c r="N114" s="154"/>
      <c r="O114" s="154">
        <v>0</v>
      </c>
      <c r="P114" s="154">
        <v>788052</v>
      </c>
      <c r="Q114" s="154"/>
      <c r="R114" s="154">
        <v>0</v>
      </c>
      <c r="S114" s="154">
        <v>0</v>
      </c>
      <c r="T114" s="154">
        <v>0</v>
      </c>
      <c r="U114" s="154">
        <v>0</v>
      </c>
      <c r="V114" s="154">
        <v>7432067</v>
      </c>
      <c r="W114" s="154"/>
      <c r="X114" s="154"/>
      <c r="Y114" s="154"/>
      <c r="Z114" s="154"/>
      <c r="AA114" s="154">
        <v>-7432067</v>
      </c>
      <c r="AB114" s="242" t="s">
        <v>1195</v>
      </c>
      <c r="AC114" s="153">
        <v>810000</v>
      </c>
    </row>
    <row r="115" spans="1:35" ht="45" customHeight="1">
      <c r="A115" s="153">
        <f t="shared" si="2"/>
        <v>108</v>
      </c>
      <c r="B115" s="241">
        <v>1912</v>
      </c>
      <c r="C115" s="153" t="s">
        <v>423</v>
      </c>
      <c r="D115" s="300">
        <v>430000000</v>
      </c>
      <c r="E115" s="154">
        <v>310000000</v>
      </c>
      <c r="F115" s="154">
        <v>120000000</v>
      </c>
      <c r="G115" s="154">
        <v>157713073</v>
      </c>
      <c r="H115" s="154">
        <v>153693735</v>
      </c>
      <c r="I115" s="154">
        <v>0</v>
      </c>
      <c r="J115" s="154">
        <v>3174359</v>
      </c>
      <c r="K115" s="154">
        <v>3174359</v>
      </c>
      <c r="L115" s="154">
        <v>156868094</v>
      </c>
      <c r="M115" s="154">
        <v>20844979</v>
      </c>
      <c r="N115" s="154">
        <v>110000000</v>
      </c>
      <c r="O115" s="154">
        <v>142286927</v>
      </c>
      <c r="P115" s="154">
        <v>844979</v>
      </c>
      <c r="Q115" s="154"/>
      <c r="R115" s="438">
        <v>20000000</v>
      </c>
      <c r="S115" s="154">
        <v>20000000</v>
      </c>
      <c r="T115" s="154">
        <v>0</v>
      </c>
      <c r="U115" s="154">
        <v>110000000</v>
      </c>
      <c r="V115" s="154">
        <v>46322608</v>
      </c>
      <c r="W115" s="154">
        <v>20530000</v>
      </c>
      <c r="X115" s="154"/>
      <c r="Y115" s="154">
        <v>866000</v>
      </c>
      <c r="Z115" s="154"/>
      <c r="AA115" s="154">
        <v>42281392</v>
      </c>
      <c r="AB115" s="242" t="s">
        <v>1402</v>
      </c>
      <c r="AC115" s="153">
        <v>810000</v>
      </c>
    </row>
    <row r="116" spans="1:35" ht="45" customHeight="1">
      <c r="A116" s="153">
        <f t="shared" si="2"/>
        <v>109</v>
      </c>
      <c r="B116" s="241">
        <v>1914</v>
      </c>
      <c r="C116" s="153" t="s">
        <v>120</v>
      </c>
      <c r="D116" s="154">
        <v>8100000</v>
      </c>
      <c r="E116" s="154">
        <v>8100000</v>
      </c>
      <c r="F116" s="154">
        <v>0</v>
      </c>
      <c r="G116" s="154">
        <v>8100000</v>
      </c>
      <c r="H116" s="154">
        <v>7471625</v>
      </c>
      <c r="I116" s="154">
        <v>0</v>
      </c>
      <c r="J116" s="154">
        <v>50619</v>
      </c>
      <c r="K116" s="154">
        <v>50619</v>
      </c>
      <c r="L116" s="154">
        <v>7522244</v>
      </c>
      <c r="M116" s="154">
        <v>577756</v>
      </c>
      <c r="N116" s="154"/>
      <c r="O116" s="154">
        <v>0</v>
      </c>
      <c r="P116" s="154">
        <v>577756</v>
      </c>
      <c r="Q116" s="154"/>
      <c r="R116" s="154"/>
      <c r="S116" s="154">
        <v>0</v>
      </c>
      <c r="T116" s="154">
        <v>0</v>
      </c>
      <c r="U116" s="154">
        <v>0</v>
      </c>
      <c r="V116" s="154">
        <v>0</v>
      </c>
      <c r="W116" s="154"/>
      <c r="X116" s="154"/>
      <c r="Y116" s="154"/>
      <c r="Z116" s="154"/>
      <c r="AA116" s="153"/>
      <c r="AB116" s="320" t="s">
        <v>1307</v>
      </c>
      <c r="AC116" s="153">
        <v>810000</v>
      </c>
    </row>
    <row r="117" spans="1:35" ht="45" customHeight="1">
      <c r="A117" s="153">
        <f t="shared" si="2"/>
        <v>110</v>
      </c>
      <c r="B117" s="241">
        <v>1919</v>
      </c>
      <c r="C117" s="153" t="s">
        <v>110</v>
      </c>
      <c r="D117" s="154">
        <v>135100000</v>
      </c>
      <c r="E117" s="154">
        <v>135100000</v>
      </c>
      <c r="F117" s="154">
        <v>0</v>
      </c>
      <c r="G117" s="154">
        <v>72024834</v>
      </c>
      <c r="H117" s="154">
        <v>57960920</v>
      </c>
      <c r="I117" s="154">
        <v>0</v>
      </c>
      <c r="J117" s="154">
        <v>370261</v>
      </c>
      <c r="K117" s="154">
        <v>370261</v>
      </c>
      <c r="L117" s="154">
        <v>58331181</v>
      </c>
      <c r="M117" s="154">
        <v>13693653</v>
      </c>
      <c r="N117" s="154"/>
      <c r="O117" s="154">
        <v>63075166</v>
      </c>
      <c r="P117" s="154">
        <v>13693653</v>
      </c>
      <c r="Q117" s="154"/>
      <c r="R117" s="154"/>
      <c r="S117" s="154">
        <v>0</v>
      </c>
      <c r="T117" s="154">
        <v>0</v>
      </c>
      <c r="U117" s="154">
        <v>0</v>
      </c>
      <c r="V117" s="154">
        <v>0</v>
      </c>
      <c r="W117" s="154"/>
      <c r="X117" s="154"/>
      <c r="Y117" s="154"/>
      <c r="Z117" s="154"/>
      <c r="AA117" s="154"/>
      <c r="AB117" s="153" t="s">
        <v>542</v>
      </c>
      <c r="AC117" s="153">
        <v>742000</v>
      </c>
    </row>
    <row r="118" spans="1:35" ht="45" customHeight="1">
      <c r="A118" s="153">
        <f t="shared" si="2"/>
        <v>111</v>
      </c>
      <c r="B118" s="241">
        <v>1960</v>
      </c>
      <c r="C118" s="153" t="s">
        <v>281</v>
      </c>
      <c r="D118" s="154">
        <v>24710000</v>
      </c>
      <c r="E118" s="154">
        <v>24710000</v>
      </c>
      <c r="F118" s="154">
        <v>0</v>
      </c>
      <c r="G118" s="154">
        <v>22421744</v>
      </c>
      <c r="H118" s="154">
        <v>18966010</v>
      </c>
      <c r="I118" s="154">
        <v>0</v>
      </c>
      <c r="J118" s="154">
        <v>1097699</v>
      </c>
      <c r="K118" s="154">
        <v>1097699</v>
      </c>
      <c r="L118" s="154">
        <v>20063709</v>
      </c>
      <c r="M118" s="154">
        <v>2358035</v>
      </c>
      <c r="N118" s="154">
        <v>2288256</v>
      </c>
      <c r="O118" s="154">
        <v>0</v>
      </c>
      <c r="P118" s="154">
        <v>2358035</v>
      </c>
      <c r="Q118" s="154"/>
      <c r="R118" s="154"/>
      <c r="S118" s="154">
        <v>0</v>
      </c>
      <c r="T118" s="154">
        <v>0</v>
      </c>
      <c r="U118" s="154">
        <v>2288256</v>
      </c>
      <c r="V118" s="154">
        <v>2288256</v>
      </c>
      <c r="W118" s="154"/>
      <c r="X118" s="154"/>
      <c r="Y118" s="154"/>
      <c r="Z118" s="154"/>
      <c r="AA118" s="154"/>
      <c r="AB118" s="242" t="s">
        <v>1403</v>
      </c>
      <c r="AC118" s="153">
        <v>810000</v>
      </c>
    </row>
    <row r="119" spans="1:35" ht="45" customHeight="1">
      <c r="A119" s="153">
        <f t="shared" si="2"/>
        <v>112</v>
      </c>
      <c r="B119" s="241">
        <v>1962</v>
      </c>
      <c r="C119" s="153" t="s">
        <v>129</v>
      </c>
      <c r="D119" s="154">
        <v>20000000</v>
      </c>
      <c r="E119" s="154">
        <v>20000000</v>
      </c>
      <c r="F119" s="154">
        <v>0</v>
      </c>
      <c r="G119" s="154">
        <v>1000000</v>
      </c>
      <c r="H119" s="154">
        <v>0</v>
      </c>
      <c r="I119" s="154">
        <v>0</v>
      </c>
      <c r="J119" s="154">
        <v>0</v>
      </c>
      <c r="K119" s="154">
        <v>0</v>
      </c>
      <c r="L119" s="154">
        <v>0</v>
      </c>
      <c r="M119" s="154">
        <v>100000</v>
      </c>
      <c r="N119" s="154"/>
      <c r="O119" s="154">
        <v>19900000</v>
      </c>
      <c r="P119" s="154">
        <v>1000000</v>
      </c>
      <c r="Q119" s="438">
        <v>-900000</v>
      </c>
      <c r="R119" s="154"/>
      <c r="S119" s="154">
        <v>-900000</v>
      </c>
      <c r="T119" s="154">
        <v>0</v>
      </c>
      <c r="U119" s="154">
        <v>0</v>
      </c>
      <c r="V119" s="154">
        <v>0</v>
      </c>
      <c r="W119" s="154"/>
      <c r="X119" s="154"/>
      <c r="Y119" s="154"/>
      <c r="Z119" s="154"/>
      <c r="AA119" s="153"/>
      <c r="AB119" s="242" t="s">
        <v>543</v>
      </c>
      <c r="AC119" s="153">
        <v>742000</v>
      </c>
    </row>
    <row r="120" spans="1:35" ht="45" customHeight="1">
      <c r="A120" s="153">
        <f t="shared" si="2"/>
        <v>113</v>
      </c>
      <c r="B120" s="153">
        <v>1965</v>
      </c>
      <c r="C120" s="153" t="s">
        <v>282</v>
      </c>
      <c r="D120" s="154">
        <v>35000000</v>
      </c>
      <c r="E120" s="154">
        <v>35000000</v>
      </c>
      <c r="F120" s="154">
        <v>0</v>
      </c>
      <c r="G120" s="154">
        <v>2100000</v>
      </c>
      <c r="H120" s="154">
        <v>381891</v>
      </c>
      <c r="I120" s="154">
        <v>0</v>
      </c>
      <c r="J120" s="154">
        <v>445520</v>
      </c>
      <c r="K120" s="154">
        <v>445520</v>
      </c>
      <c r="L120" s="154">
        <v>827411</v>
      </c>
      <c r="M120" s="154">
        <v>1272589</v>
      </c>
      <c r="N120" s="154">
        <v>0</v>
      </c>
      <c r="O120" s="154">
        <v>32900000</v>
      </c>
      <c r="P120" s="154">
        <v>1272589</v>
      </c>
      <c r="Q120" s="154"/>
      <c r="R120" s="154"/>
      <c r="S120" s="154">
        <v>0</v>
      </c>
      <c r="T120" s="154">
        <v>0</v>
      </c>
      <c r="U120" s="154">
        <v>0</v>
      </c>
      <c r="V120" s="154">
        <v>0</v>
      </c>
      <c r="W120" s="154"/>
      <c r="X120" s="154"/>
      <c r="Y120" s="154"/>
      <c r="Z120" s="154"/>
      <c r="AA120" s="153"/>
      <c r="AB120" s="320" t="s">
        <v>1308</v>
      </c>
      <c r="AC120" s="153">
        <v>810000</v>
      </c>
    </row>
    <row r="121" spans="1:35" s="5" customFormat="1" ht="45" customHeight="1">
      <c r="A121" s="153">
        <f t="shared" si="2"/>
        <v>114</v>
      </c>
      <c r="B121" s="28">
        <v>2186</v>
      </c>
      <c r="C121" s="3" t="s">
        <v>485</v>
      </c>
      <c r="D121" s="4">
        <v>7011744</v>
      </c>
      <c r="E121" s="4">
        <v>8100000</v>
      </c>
      <c r="F121" s="154">
        <v>-1088256</v>
      </c>
      <c r="G121" s="4">
        <v>7011744</v>
      </c>
      <c r="H121" s="4">
        <v>7010038</v>
      </c>
      <c r="I121" s="4">
        <v>0</v>
      </c>
      <c r="J121" s="4">
        <v>1212</v>
      </c>
      <c r="K121" s="154">
        <v>1212</v>
      </c>
      <c r="L121" s="154">
        <v>7011250</v>
      </c>
      <c r="M121" s="154">
        <v>494</v>
      </c>
      <c r="N121" s="154"/>
      <c r="O121" s="154">
        <v>0</v>
      </c>
      <c r="P121" s="154">
        <v>494</v>
      </c>
      <c r="Q121" s="154"/>
      <c r="R121" s="154"/>
      <c r="S121" s="154">
        <v>0</v>
      </c>
      <c r="T121" s="154">
        <v>0</v>
      </c>
      <c r="U121" s="154">
        <v>0</v>
      </c>
      <c r="V121" s="154">
        <v>0</v>
      </c>
      <c r="W121" s="154"/>
      <c r="X121" s="154"/>
      <c r="Y121" s="154"/>
      <c r="Z121" s="154"/>
      <c r="AA121" s="154"/>
      <c r="AB121" s="3" t="s">
        <v>1404</v>
      </c>
      <c r="AC121" s="3">
        <v>810000</v>
      </c>
      <c r="AD121" s="157"/>
      <c r="AE121" s="157"/>
      <c r="AF121" s="157"/>
      <c r="AG121" s="157"/>
      <c r="AH121" s="157"/>
      <c r="AI121" s="157"/>
    </row>
    <row r="122" spans="1:35" s="244" customFormat="1" ht="45" customHeight="1">
      <c r="A122" s="159">
        <f>A121</f>
        <v>114</v>
      </c>
      <c r="B122" s="243"/>
      <c r="C122" s="159" t="s">
        <v>283</v>
      </c>
      <c r="D122" s="160">
        <v>1138078480</v>
      </c>
      <c r="E122" s="160">
        <v>1020980496</v>
      </c>
      <c r="F122" s="160">
        <v>117097984</v>
      </c>
      <c r="G122" s="160">
        <v>639772519</v>
      </c>
      <c r="H122" s="160">
        <v>594583813</v>
      </c>
      <c r="I122" s="160">
        <v>0</v>
      </c>
      <c r="J122" s="160">
        <v>8974886</v>
      </c>
      <c r="K122" s="160">
        <v>8974886</v>
      </c>
      <c r="L122" s="160">
        <v>603558699</v>
      </c>
      <c r="M122" s="160">
        <v>75313820</v>
      </c>
      <c r="N122" s="160">
        <v>150043868</v>
      </c>
      <c r="O122" s="160">
        <v>309162093</v>
      </c>
      <c r="P122" s="160">
        <v>36213820</v>
      </c>
      <c r="Q122" s="160">
        <v>19100000</v>
      </c>
      <c r="R122" s="160">
        <v>20000000</v>
      </c>
      <c r="S122" s="160">
        <v>39100000</v>
      </c>
      <c r="T122" s="160">
        <v>0</v>
      </c>
      <c r="U122" s="160">
        <v>150043868</v>
      </c>
      <c r="V122" s="160">
        <v>101230610</v>
      </c>
      <c r="W122" s="160">
        <v>20530000</v>
      </c>
      <c r="X122" s="160">
        <v>0</v>
      </c>
      <c r="Y122" s="160">
        <v>866000</v>
      </c>
      <c r="Z122" s="160">
        <v>0</v>
      </c>
      <c r="AA122" s="160">
        <v>27417258</v>
      </c>
      <c r="AB122" s="150"/>
      <c r="AC122" s="159"/>
      <c r="AD122" s="157"/>
      <c r="AE122" s="157"/>
      <c r="AF122" s="157"/>
      <c r="AG122" s="157"/>
      <c r="AH122" s="157"/>
      <c r="AI122" s="157"/>
    </row>
    <row r="123" spans="1:35" s="331" customFormat="1" ht="45" customHeight="1">
      <c r="A123" s="270">
        <f>A122</f>
        <v>114</v>
      </c>
      <c r="B123" s="270"/>
      <c r="C123" s="29" t="s">
        <v>492</v>
      </c>
      <c r="D123" s="330">
        <v>3576267028</v>
      </c>
      <c r="E123" s="330">
        <v>3311894339</v>
      </c>
      <c r="F123" s="330">
        <v>264372689</v>
      </c>
      <c r="G123" s="330">
        <v>1595139611</v>
      </c>
      <c r="H123" s="330">
        <v>1320333529</v>
      </c>
      <c r="I123" s="330">
        <v>7701092</v>
      </c>
      <c r="J123" s="330">
        <v>38242600.210000001</v>
      </c>
      <c r="K123" s="330">
        <v>45943692.210000001</v>
      </c>
      <c r="L123" s="330">
        <v>1366277221.21</v>
      </c>
      <c r="M123" s="330">
        <v>325067412.78999996</v>
      </c>
      <c r="N123" s="330">
        <v>363016816</v>
      </c>
      <c r="O123" s="330">
        <v>1521905578</v>
      </c>
      <c r="P123" s="330">
        <v>228862389.78999999</v>
      </c>
      <c r="Q123" s="330">
        <v>84055023</v>
      </c>
      <c r="R123" s="330">
        <v>26150000</v>
      </c>
      <c r="S123" s="330">
        <v>110205023</v>
      </c>
      <c r="T123" s="330">
        <v>14000000</v>
      </c>
      <c r="U123" s="330">
        <v>349016816</v>
      </c>
      <c r="V123" s="330">
        <v>244086638</v>
      </c>
      <c r="W123" s="330">
        <v>25030000</v>
      </c>
      <c r="X123" s="330">
        <v>0</v>
      </c>
      <c r="Y123" s="330">
        <v>866000</v>
      </c>
      <c r="Z123" s="330">
        <v>0</v>
      </c>
      <c r="AA123" s="330">
        <v>79034178</v>
      </c>
      <c r="AB123" s="330"/>
      <c r="AC123" s="270"/>
      <c r="AD123" s="157"/>
      <c r="AE123" s="157"/>
      <c r="AF123" s="157"/>
      <c r="AG123" s="157"/>
      <c r="AH123" s="157"/>
      <c r="AI123" s="157"/>
    </row>
    <row r="124" spans="1:35">
      <c r="F124" s="247"/>
      <c r="G124" s="247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</row>
    <row r="125" spans="1:35"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</row>
    <row r="126" spans="1:35">
      <c r="U126" s="370"/>
    </row>
    <row r="127" spans="1:35">
      <c r="U127" s="370"/>
    </row>
    <row r="128" spans="1:35">
      <c r="U128" s="370"/>
    </row>
    <row r="129" spans="21:21">
      <c r="U129" s="370"/>
    </row>
    <row r="130" spans="21:21">
      <c r="U130" s="370"/>
    </row>
    <row r="132" spans="21:21">
      <c r="U132" s="403"/>
    </row>
    <row r="134" spans="21:21">
      <c r="U134" s="403"/>
    </row>
    <row r="135" spans="21:21">
      <c r="U135" s="403"/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135" priority="3" operator="equal">
      <formula>0</formula>
    </cfRule>
  </conditionalFormatting>
  <conditionalFormatting sqref="O105">
    <cfRule type="cellIs" dxfId="134" priority="2" operator="lessThan">
      <formula>0</formula>
    </cfRule>
  </conditionalFormatting>
  <conditionalFormatting sqref="O93">
    <cfRule type="cellIs" dxfId="133" priority="1" operator="lessThan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5"/>
  <sheetViews>
    <sheetView showZeros="0" rightToLeft="1" tabSelected="1" zoomScaleNormal="100" workbookViewId="0">
      <pane xSplit="3" ySplit="4" topLeftCell="D119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3.8"/>
  <cols>
    <col min="1" max="1" width="3.77734375" style="237" customWidth="1"/>
    <col min="2" max="2" width="5.77734375" style="238" customWidth="1"/>
    <col min="3" max="3" width="15.77734375" style="162" customWidth="1"/>
    <col min="4" max="4" width="11.77734375" style="148" customWidth="1"/>
    <col min="5" max="5" width="12.6640625" style="148" hidden="1" customWidth="1"/>
    <col min="6" max="6" width="12.109375" style="148" hidden="1" customWidth="1"/>
    <col min="7" max="7" width="13" style="148" hidden="1" customWidth="1"/>
    <col min="8" max="8" width="14.33203125" style="148" hidden="1" customWidth="1"/>
    <col min="9" max="11" width="10.6640625" style="148" hidden="1" customWidth="1"/>
    <col min="12" max="12" width="11.77734375" style="148" customWidth="1"/>
    <col min="13" max="14" width="10.77734375" style="148" customWidth="1"/>
    <col min="15" max="15" width="11.77734375" style="148" customWidth="1"/>
    <col min="16" max="17" width="11.109375" style="148" hidden="1" customWidth="1"/>
    <col min="18" max="18" width="10.6640625" style="148" hidden="1" customWidth="1"/>
    <col min="19" max="19" width="13" style="148" hidden="1" customWidth="1"/>
    <col min="20" max="20" width="9.77734375" style="148" customWidth="1"/>
    <col min="21" max="22" width="10.77734375" style="147" customWidth="1"/>
    <col min="23" max="23" width="9.77734375" style="147" customWidth="1"/>
    <col min="24" max="24" width="10.6640625" style="147" hidden="1" customWidth="1"/>
    <col min="25" max="25" width="7.77734375" style="147" customWidth="1"/>
    <col min="26" max="26" width="8.33203125" style="147" hidden="1" customWidth="1"/>
    <col min="27" max="27" width="9.77734375" style="147" customWidth="1"/>
    <col min="28" max="28" width="32.77734375" style="258" customWidth="1"/>
    <col min="29" max="29" width="10.6640625" style="147" hidden="1" customWidth="1"/>
    <col min="30" max="32" width="23.6640625" style="157" customWidth="1"/>
    <col min="33" max="33" width="25.88671875" style="157" customWidth="1"/>
    <col min="34" max="34" width="23.6640625" style="157" customWidth="1"/>
    <col min="35" max="35" width="12.109375" style="157" customWidth="1"/>
    <col min="36" max="16384" width="9.109375" style="147"/>
  </cols>
  <sheetData>
    <row r="1" spans="1:35" s="235" customFormat="1" ht="18">
      <c r="A1" s="234"/>
      <c r="B1" s="234"/>
      <c r="C1" s="260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6"/>
      <c r="AD1" s="157"/>
      <c r="AE1" s="157"/>
      <c r="AF1" s="157"/>
      <c r="AG1" s="157"/>
      <c r="AH1" s="157"/>
      <c r="AI1" s="157"/>
    </row>
    <row r="2" spans="1:35" ht="18">
      <c r="A2" s="234" t="s">
        <v>180</v>
      </c>
      <c r="B2" s="234"/>
      <c r="C2" s="260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162"/>
    </row>
    <row r="3" spans="1:35">
      <c r="U3" s="148"/>
    </row>
    <row r="4" spans="1:35" s="239" customFormat="1" ht="69">
      <c r="A4" s="387" t="s">
        <v>736</v>
      </c>
      <c r="B4" s="150" t="s">
        <v>1</v>
      </c>
      <c r="C4" s="150" t="s">
        <v>2</v>
      </c>
      <c r="D4" s="150" t="s">
        <v>3</v>
      </c>
      <c r="E4" s="150" t="s">
        <v>4</v>
      </c>
      <c r="F4" s="150" t="s">
        <v>5</v>
      </c>
      <c r="G4" s="150" t="s">
        <v>6</v>
      </c>
      <c r="H4" s="150" t="s">
        <v>7</v>
      </c>
      <c r="I4" s="150" t="s">
        <v>9</v>
      </c>
      <c r="J4" s="150" t="s">
        <v>132</v>
      </c>
      <c r="K4" s="150" t="s">
        <v>10</v>
      </c>
      <c r="L4" s="347" t="s">
        <v>11</v>
      </c>
      <c r="M4" s="150" t="s">
        <v>875</v>
      </c>
      <c r="N4" s="150" t="s">
        <v>876</v>
      </c>
      <c r="O4" s="9" t="s">
        <v>877</v>
      </c>
      <c r="P4" s="9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15" t="s">
        <v>13</v>
      </c>
      <c r="W4" s="15" t="s">
        <v>14</v>
      </c>
      <c r="X4" s="150" t="s">
        <v>15</v>
      </c>
      <c r="Y4" s="150" t="s">
        <v>225</v>
      </c>
      <c r="Z4" s="150" t="s">
        <v>575</v>
      </c>
      <c r="AA4" s="150" t="s">
        <v>79</v>
      </c>
      <c r="AB4" s="437" t="s">
        <v>257</v>
      </c>
      <c r="AC4" s="150" t="s">
        <v>16</v>
      </c>
      <c r="AD4" s="157"/>
      <c r="AE4" s="157"/>
      <c r="AF4" s="157"/>
      <c r="AG4" s="157"/>
      <c r="AH4" s="157"/>
      <c r="AI4" s="157"/>
    </row>
    <row r="5" spans="1:35" s="157" customFormat="1" ht="45" customHeight="1">
      <c r="A5" s="153">
        <v>1</v>
      </c>
      <c r="B5" s="153">
        <v>382</v>
      </c>
      <c r="C5" s="259" t="s">
        <v>636</v>
      </c>
      <c r="D5" s="154">
        <v>111381330</v>
      </c>
      <c r="E5" s="154">
        <v>111381330</v>
      </c>
      <c r="F5" s="154">
        <v>0</v>
      </c>
      <c r="G5" s="154">
        <v>61381330</v>
      </c>
      <c r="H5" s="154">
        <v>58085188</v>
      </c>
      <c r="I5" s="154">
        <v>0</v>
      </c>
      <c r="J5" s="154">
        <v>616525</v>
      </c>
      <c r="K5" s="154">
        <v>616525</v>
      </c>
      <c r="L5" s="154">
        <v>58701713</v>
      </c>
      <c r="M5" s="154">
        <v>12679617</v>
      </c>
      <c r="N5" s="154">
        <v>6000000</v>
      </c>
      <c r="O5" s="154">
        <v>34000000</v>
      </c>
      <c r="P5" s="154">
        <v>2679617</v>
      </c>
      <c r="Q5" s="154">
        <v>10000000</v>
      </c>
      <c r="R5" s="154">
        <v>0</v>
      </c>
      <c r="S5" s="154">
        <v>10000000</v>
      </c>
      <c r="T5" s="154">
        <v>0</v>
      </c>
      <c r="U5" s="154">
        <v>6000000</v>
      </c>
      <c r="V5" s="154">
        <v>6000000</v>
      </c>
      <c r="W5" s="154">
        <v>0</v>
      </c>
      <c r="X5" s="154">
        <v>0</v>
      </c>
      <c r="Y5" s="154">
        <v>0</v>
      </c>
      <c r="Z5" s="154">
        <v>0</v>
      </c>
      <c r="AA5" s="154">
        <v>0</v>
      </c>
      <c r="AB5" s="259" t="s">
        <v>737</v>
      </c>
      <c r="AC5" s="153">
        <v>742000</v>
      </c>
    </row>
    <row r="6" spans="1:35" s="158" customFormat="1" ht="45" customHeight="1">
      <c r="A6" s="153">
        <f t="shared" ref="A6:A69" si="0">A5+1</f>
        <v>2</v>
      </c>
      <c r="B6" s="153">
        <v>532</v>
      </c>
      <c r="C6" s="259" t="s">
        <v>72</v>
      </c>
      <c r="D6" s="154">
        <v>80090000</v>
      </c>
      <c r="E6" s="154">
        <v>80090000</v>
      </c>
      <c r="F6" s="154">
        <v>0</v>
      </c>
      <c r="G6" s="154">
        <v>80090000</v>
      </c>
      <c r="H6" s="154">
        <v>77457262</v>
      </c>
      <c r="I6" s="154">
        <v>0</v>
      </c>
      <c r="J6" s="154">
        <v>261179</v>
      </c>
      <c r="K6" s="154">
        <v>261179</v>
      </c>
      <c r="L6" s="154">
        <v>77718441</v>
      </c>
      <c r="M6" s="154">
        <v>2371559</v>
      </c>
      <c r="N6" s="154">
        <v>0</v>
      </c>
      <c r="O6" s="154">
        <v>0</v>
      </c>
      <c r="P6" s="154">
        <v>2371559</v>
      </c>
      <c r="Q6" s="154">
        <v>0</v>
      </c>
      <c r="R6" s="154">
        <v>0</v>
      </c>
      <c r="S6" s="154">
        <v>0</v>
      </c>
      <c r="T6" s="154">
        <v>0</v>
      </c>
      <c r="U6" s="154">
        <v>0</v>
      </c>
      <c r="V6" s="154">
        <v>0</v>
      </c>
      <c r="W6" s="154">
        <v>0</v>
      </c>
      <c r="X6" s="154">
        <v>0</v>
      </c>
      <c r="Y6" s="154">
        <v>0</v>
      </c>
      <c r="Z6" s="154">
        <v>0</v>
      </c>
      <c r="AA6" s="154">
        <v>0</v>
      </c>
      <c r="AB6" s="259" t="s">
        <v>531</v>
      </c>
      <c r="AC6" s="153">
        <v>742000</v>
      </c>
      <c r="AD6" s="157"/>
      <c r="AE6" s="157"/>
      <c r="AF6" s="157"/>
      <c r="AG6" s="157"/>
      <c r="AH6" s="157"/>
      <c r="AI6" s="157"/>
    </row>
    <row r="7" spans="1:35" s="158" customFormat="1" ht="45" customHeight="1">
      <c r="A7" s="153">
        <f t="shared" si="0"/>
        <v>3</v>
      </c>
      <c r="B7" s="153">
        <v>576</v>
      </c>
      <c r="C7" s="259" t="s">
        <v>73</v>
      </c>
      <c r="D7" s="154">
        <v>58113000</v>
      </c>
      <c r="E7" s="154">
        <v>76913000</v>
      </c>
      <c r="F7" s="154">
        <v>-18800000</v>
      </c>
      <c r="G7" s="154">
        <v>58113000</v>
      </c>
      <c r="H7" s="154">
        <v>55470500</v>
      </c>
      <c r="I7" s="154">
        <v>0</v>
      </c>
      <c r="J7" s="154">
        <v>2380892</v>
      </c>
      <c r="K7" s="154">
        <v>2380892</v>
      </c>
      <c r="L7" s="154">
        <v>57851392</v>
      </c>
      <c r="M7" s="154">
        <v>261608</v>
      </c>
      <c r="N7" s="154">
        <v>0</v>
      </c>
      <c r="O7" s="154">
        <v>0</v>
      </c>
      <c r="P7" s="154">
        <v>261608</v>
      </c>
      <c r="Q7" s="154">
        <v>0</v>
      </c>
      <c r="R7" s="154">
        <v>0</v>
      </c>
      <c r="S7" s="154">
        <v>0</v>
      </c>
      <c r="T7" s="154">
        <v>0</v>
      </c>
      <c r="U7" s="154">
        <v>0</v>
      </c>
      <c r="V7" s="154">
        <v>0</v>
      </c>
      <c r="W7" s="154">
        <v>0</v>
      </c>
      <c r="X7" s="154">
        <v>0</v>
      </c>
      <c r="Y7" s="154">
        <v>0</v>
      </c>
      <c r="Z7" s="154">
        <v>0</v>
      </c>
      <c r="AA7" s="154">
        <v>0</v>
      </c>
      <c r="AB7" s="259" t="s">
        <v>814</v>
      </c>
      <c r="AC7" s="153">
        <v>760000</v>
      </c>
      <c r="AD7" s="157"/>
      <c r="AE7" s="157"/>
      <c r="AF7" s="157"/>
      <c r="AG7" s="157"/>
      <c r="AH7" s="157"/>
      <c r="AI7" s="157"/>
    </row>
    <row r="8" spans="1:35" s="157" customFormat="1" ht="45" customHeight="1">
      <c r="A8" s="153">
        <f t="shared" si="0"/>
        <v>4</v>
      </c>
      <c r="B8" s="153">
        <v>1067</v>
      </c>
      <c r="C8" s="259" t="s">
        <v>74</v>
      </c>
      <c r="D8" s="154">
        <v>4975000</v>
      </c>
      <c r="E8" s="154">
        <v>4725000</v>
      </c>
      <c r="F8" s="154">
        <v>250000</v>
      </c>
      <c r="G8" s="154">
        <v>4475000</v>
      </c>
      <c r="H8" s="154">
        <v>3542673</v>
      </c>
      <c r="I8" s="154">
        <v>0</v>
      </c>
      <c r="J8" s="154">
        <v>418045</v>
      </c>
      <c r="K8" s="154">
        <v>418045</v>
      </c>
      <c r="L8" s="154">
        <v>3960718</v>
      </c>
      <c r="M8" s="154">
        <v>514282</v>
      </c>
      <c r="N8" s="154">
        <v>500000</v>
      </c>
      <c r="O8" s="154">
        <v>0</v>
      </c>
      <c r="P8" s="154">
        <v>514282</v>
      </c>
      <c r="Q8" s="154">
        <v>0</v>
      </c>
      <c r="R8" s="154">
        <v>0</v>
      </c>
      <c r="S8" s="154">
        <v>0</v>
      </c>
      <c r="T8" s="154">
        <v>0</v>
      </c>
      <c r="U8" s="154">
        <v>500000</v>
      </c>
      <c r="V8" s="154">
        <v>500000</v>
      </c>
      <c r="W8" s="154">
        <v>0</v>
      </c>
      <c r="X8" s="154">
        <v>0</v>
      </c>
      <c r="Y8" s="154">
        <v>0</v>
      </c>
      <c r="Z8" s="154">
        <v>0</v>
      </c>
      <c r="AA8" s="154">
        <v>0</v>
      </c>
      <c r="AB8" s="259" t="s">
        <v>271</v>
      </c>
      <c r="AC8" s="153">
        <v>742000</v>
      </c>
    </row>
    <row r="9" spans="1:35" s="158" customFormat="1" ht="45" customHeight="1">
      <c r="A9" s="153">
        <f t="shared" si="0"/>
        <v>5</v>
      </c>
      <c r="B9" s="153">
        <v>1207</v>
      </c>
      <c r="C9" s="259" t="s">
        <v>75</v>
      </c>
      <c r="D9" s="154">
        <v>45650000</v>
      </c>
      <c r="E9" s="154">
        <v>50650000</v>
      </c>
      <c r="F9" s="154">
        <v>-5000000</v>
      </c>
      <c r="G9" s="154">
        <v>45650000</v>
      </c>
      <c r="H9" s="154">
        <v>43344238</v>
      </c>
      <c r="I9" s="154">
        <v>0</v>
      </c>
      <c r="J9" s="154">
        <v>417175</v>
      </c>
      <c r="K9" s="154">
        <v>417175</v>
      </c>
      <c r="L9" s="154">
        <v>43761413</v>
      </c>
      <c r="M9" s="154">
        <v>1888587</v>
      </c>
      <c r="N9" s="154">
        <v>0</v>
      </c>
      <c r="O9" s="154">
        <v>0</v>
      </c>
      <c r="P9" s="154">
        <v>1888587</v>
      </c>
      <c r="Q9" s="154">
        <v>0</v>
      </c>
      <c r="R9" s="154">
        <v>0</v>
      </c>
      <c r="S9" s="154">
        <v>0</v>
      </c>
      <c r="T9" s="154">
        <v>0</v>
      </c>
      <c r="U9" s="154">
        <v>0</v>
      </c>
      <c r="V9" s="154">
        <v>0</v>
      </c>
      <c r="W9" s="154">
        <v>0</v>
      </c>
      <c r="X9" s="154">
        <v>0</v>
      </c>
      <c r="Y9" s="154">
        <v>0</v>
      </c>
      <c r="Z9" s="154">
        <v>0</v>
      </c>
      <c r="AA9" s="154">
        <v>0</v>
      </c>
      <c r="AB9" s="259" t="s">
        <v>1236</v>
      </c>
      <c r="AC9" s="153">
        <v>742000</v>
      </c>
      <c r="AD9" s="157"/>
      <c r="AE9" s="157"/>
      <c r="AF9" s="157"/>
      <c r="AG9" s="157"/>
      <c r="AH9" s="157"/>
      <c r="AI9" s="157"/>
    </row>
    <row r="10" spans="1:35" s="158" customFormat="1" ht="45" customHeight="1">
      <c r="A10" s="153">
        <f t="shared" si="0"/>
        <v>6</v>
      </c>
      <c r="B10" s="153">
        <v>1238</v>
      </c>
      <c r="C10" s="259" t="s">
        <v>1355</v>
      </c>
      <c r="D10" s="154">
        <v>40500000</v>
      </c>
      <c r="E10" s="154">
        <v>40500000</v>
      </c>
      <c r="F10" s="154">
        <v>0</v>
      </c>
      <c r="G10" s="154">
        <v>25500000</v>
      </c>
      <c r="H10" s="154">
        <v>25492352</v>
      </c>
      <c r="I10" s="154">
        <v>0</v>
      </c>
      <c r="J10" s="154">
        <v>0</v>
      </c>
      <c r="K10" s="154">
        <v>0</v>
      </c>
      <c r="L10" s="154">
        <v>25492352</v>
      </c>
      <c r="M10" s="154">
        <v>7648</v>
      </c>
      <c r="N10" s="154">
        <v>2500000</v>
      </c>
      <c r="O10" s="154">
        <v>12500000</v>
      </c>
      <c r="P10" s="154">
        <v>7648</v>
      </c>
      <c r="Q10" s="154">
        <v>0</v>
      </c>
      <c r="R10" s="154">
        <v>0</v>
      </c>
      <c r="S10" s="154">
        <v>0</v>
      </c>
      <c r="T10" s="154">
        <v>0</v>
      </c>
      <c r="U10" s="154">
        <v>2500000</v>
      </c>
      <c r="V10" s="154">
        <v>500000</v>
      </c>
      <c r="W10" s="154">
        <v>0</v>
      </c>
      <c r="X10" s="154">
        <v>0</v>
      </c>
      <c r="Y10" s="154">
        <v>0</v>
      </c>
      <c r="Z10" s="154">
        <v>0</v>
      </c>
      <c r="AA10" s="154">
        <v>2000000</v>
      </c>
      <c r="AB10" s="259" t="s">
        <v>1394</v>
      </c>
      <c r="AC10" s="153">
        <v>742000</v>
      </c>
      <c r="AD10" s="157"/>
      <c r="AE10" s="157"/>
      <c r="AF10" s="157"/>
      <c r="AG10" s="157"/>
      <c r="AH10" s="157"/>
      <c r="AI10" s="157"/>
    </row>
    <row r="11" spans="1:35" s="158" customFormat="1" ht="45" customHeight="1">
      <c r="A11" s="153">
        <f t="shared" si="0"/>
        <v>7</v>
      </c>
      <c r="B11" s="153">
        <v>1298</v>
      </c>
      <c r="C11" s="259" t="s">
        <v>33</v>
      </c>
      <c r="D11" s="154">
        <v>6100000</v>
      </c>
      <c r="E11" s="154">
        <v>5600000</v>
      </c>
      <c r="F11" s="154">
        <v>500000</v>
      </c>
      <c r="G11" s="154">
        <v>5200000</v>
      </c>
      <c r="H11" s="154">
        <v>4965962</v>
      </c>
      <c r="I11" s="154">
        <v>0</v>
      </c>
      <c r="J11" s="154">
        <v>123621</v>
      </c>
      <c r="K11" s="154">
        <v>123621</v>
      </c>
      <c r="L11" s="154">
        <v>5089583</v>
      </c>
      <c r="M11" s="154">
        <v>510417</v>
      </c>
      <c r="N11" s="154">
        <v>500000</v>
      </c>
      <c r="O11" s="154">
        <v>0</v>
      </c>
      <c r="P11" s="154">
        <v>110417</v>
      </c>
      <c r="Q11" s="154">
        <v>400000</v>
      </c>
      <c r="R11" s="154">
        <v>0</v>
      </c>
      <c r="S11" s="154">
        <v>400000</v>
      </c>
      <c r="T11" s="154">
        <v>0</v>
      </c>
      <c r="U11" s="154">
        <v>500000</v>
      </c>
      <c r="V11" s="154">
        <v>500000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259" t="s">
        <v>272</v>
      </c>
      <c r="AC11" s="153">
        <v>742000</v>
      </c>
      <c r="AD11" s="157"/>
      <c r="AE11" s="157"/>
      <c r="AF11" s="157"/>
      <c r="AG11" s="157"/>
      <c r="AH11" s="157"/>
      <c r="AI11" s="157"/>
    </row>
    <row r="12" spans="1:35" s="157" customFormat="1" ht="45" customHeight="1">
      <c r="A12" s="153">
        <f t="shared" si="0"/>
        <v>8</v>
      </c>
      <c r="B12" s="153">
        <v>1312</v>
      </c>
      <c r="C12" s="259" t="s">
        <v>34</v>
      </c>
      <c r="D12" s="154">
        <v>105451000</v>
      </c>
      <c r="E12" s="154">
        <v>105231000</v>
      </c>
      <c r="F12" s="154">
        <v>220000</v>
      </c>
      <c r="G12" s="154">
        <v>106231000</v>
      </c>
      <c r="H12" s="154">
        <v>105263348</v>
      </c>
      <c r="I12" s="154">
        <v>0</v>
      </c>
      <c r="J12" s="154">
        <v>184362</v>
      </c>
      <c r="K12" s="154">
        <v>184362</v>
      </c>
      <c r="L12" s="154">
        <v>105447710</v>
      </c>
      <c r="M12" s="154">
        <v>3290</v>
      </c>
      <c r="N12" s="154">
        <v>0</v>
      </c>
      <c r="O12" s="154">
        <v>0</v>
      </c>
      <c r="P12" s="154">
        <v>783290</v>
      </c>
      <c r="Q12" s="154">
        <v>-780000</v>
      </c>
      <c r="R12" s="154">
        <v>0</v>
      </c>
      <c r="S12" s="154">
        <v>-780000</v>
      </c>
      <c r="T12" s="154">
        <v>0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154">
        <v>0</v>
      </c>
      <c r="AB12" s="259" t="s">
        <v>1284</v>
      </c>
      <c r="AC12" s="153">
        <v>930000</v>
      </c>
    </row>
    <row r="13" spans="1:35" s="5" customFormat="1" ht="45" customHeight="1">
      <c r="A13" s="153">
        <f t="shared" si="0"/>
        <v>9</v>
      </c>
      <c r="B13" s="153">
        <v>1314</v>
      </c>
      <c r="C13" s="259" t="s">
        <v>42</v>
      </c>
      <c r="D13" s="154">
        <v>5200000</v>
      </c>
      <c r="E13" s="154">
        <v>5200000</v>
      </c>
      <c r="F13" s="154">
        <v>0</v>
      </c>
      <c r="G13" s="154">
        <v>3200000</v>
      </c>
      <c r="H13" s="154">
        <v>1880402</v>
      </c>
      <c r="I13" s="154">
        <v>0</v>
      </c>
      <c r="J13" s="154">
        <v>765279</v>
      </c>
      <c r="K13" s="154">
        <v>765279</v>
      </c>
      <c r="L13" s="154">
        <v>2645681</v>
      </c>
      <c r="M13" s="154">
        <v>2554319</v>
      </c>
      <c r="N13" s="154">
        <v>0</v>
      </c>
      <c r="O13" s="154">
        <v>0</v>
      </c>
      <c r="P13" s="154">
        <v>554319</v>
      </c>
      <c r="Q13" s="154">
        <v>0</v>
      </c>
      <c r="R13" s="154">
        <v>2000000</v>
      </c>
      <c r="S13" s="154">
        <v>2000000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259" t="s">
        <v>457</v>
      </c>
      <c r="AC13" s="3">
        <v>742000</v>
      </c>
      <c r="AD13" s="157"/>
      <c r="AE13" s="157"/>
      <c r="AF13" s="157"/>
      <c r="AG13" s="157"/>
      <c r="AH13" s="157"/>
      <c r="AI13" s="157"/>
    </row>
    <row r="14" spans="1:35" s="5" customFormat="1" ht="45" customHeight="1">
      <c r="A14" s="153">
        <f t="shared" si="0"/>
        <v>10</v>
      </c>
      <c r="B14" s="153">
        <v>1322</v>
      </c>
      <c r="C14" s="259" t="s">
        <v>35</v>
      </c>
      <c r="D14" s="154">
        <v>18500000</v>
      </c>
      <c r="E14" s="154">
        <v>18500000</v>
      </c>
      <c r="F14" s="154">
        <v>0</v>
      </c>
      <c r="G14" s="154">
        <v>10850000</v>
      </c>
      <c r="H14" s="154">
        <v>9799391</v>
      </c>
      <c r="I14" s="154">
        <v>0</v>
      </c>
      <c r="J14" s="154">
        <v>0</v>
      </c>
      <c r="K14" s="154">
        <v>0</v>
      </c>
      <c r="L14" s="154">
        <v>9799391</v>
      </c>
      <c r="M14" s="154">
        <v>50609</v>
      </c>
      <c r="N14" s="154">
        <v>1000000</v>
      </c>
      <c r="O14" s="154">
        <v>7650000</v>
      </c>
      <c r="P14" s="154">
        <v>1050609</v>
      </c>
      <c r="Q14" s="154">
        <v>0</v>
      </c>
      <c r="R14" s="154">
        <v>0</v>
      </c>
      <c r="S14" s="154">
        <v>0</v>
      </c>
      <c r="T14" s="154">
        <v>1000000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259" t="s">
        <v>586</v>
      </c>
      <c r="AC14" s="3">
        <v>742000</v>
      </c>
      <c r="AD14" s="157"/>
      <c r="AE14" s="157"/>
      <c r="AF14" s="157"/>
      <c r="AG14" s="157"/>
      <c r="AH14" s="157"/>
      <c r="AI14" s="157"/>
    </row>
    <row r="15" spans="1:35" s="5" customFormat="1" ht="45" customHeight="1">
      <c r="A15" s="153">
        <f t="shared" si="0"/>
        <v>11</v>
      </c>
      <c r="B15" s="153">
        <v>1357</v>
      </c>
      <c r="C15" s="259" t="s">
        <v>43</v>
      </c>
      <c r="D15" s="154">
        <v>18812000</v>
      </c>
      <c r="E15" s="154">
        <v>25000000</v>
      </c>
      <c r="F15" s="154">
        <v>-6188000</v>
      </c>
      <c r="G15" s="154">
        <v>18112000</v>
      </c>
      <c r="H15" s="154">
        <v>16972872</v>
      </c>
      <c r="I15" s="154">
        <v>0</v>
      </c>
      <c r="J15" s="154">
        <v>140687</v>
      </c>
      <c r="K15" s="154">
        <v>140687</v>
      </c>
      <c r="L15" s="154">
        <v>17113559</v>
      </c>
      <c r="M15" s="154">
        <v>1698441</v>
      </c>
      <c r="N15" s="154">
        <v>0</v>
      </c>
      <c r="O15" s="154">
        <v>0</v>
      </c>
      <c r="P15" s="154">
        <v>998441</v>
      </c>
      <c r="Q15" s="154">
        <v>700000</v>
      </c>
      <c r="R15" s="154">
        <v>0</v>
      </c>
      <c r="S15" s="154">
        <v>700000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259" t="s">
        <v>739</v>
      </c>
      <c r="AC15" s="3">
        <v>829000</v>
      </c>
      <c r="AD15" s="157"/>
      <c r="AE15" s="157"/>
      <c r="AF15" s="157"/>
      <c r="AG15" s="157"/>
      <c r="AH15" s="157"/>
      <c r="AI15" s="157"/>
    </row>
    <row r="16" spans="1:35" s="157" customFormat="1" ht="45" customHeight="1">
      <c r="A16" s="153">
        <f t="shared" si="0"/>
        <v>12</v>
      </c>
      <c r="B16" s="153">
        <v>1375</v>
      </c>
      <c r="C16" s="259" t="s">
        <v>352</v>
      </c>
      <c r="D16" s="154">
        <v>40150000</v>
      </c>
      <c r="E16" s="154">
        <v>40150000</v>
      </c>
      <c r="F16" s="154">
        <v>0</v>
      </c>
      <c r="G16" s="154">
        <v>30150000</v>
      </c>
      <c r="H16" s="154">
        <v>29776272</v>
      </c>
      <c r="I16" s="154">
        <v>0</v>
      </c>
      <c r="J16" s="154">
        <v>69641</v>
      </c>
      <c r="K16" s="154">
        <v>69641</v>
      </c>
      <c r="L16" s="154">
        <v>29845913</v>
      </c>
      <c r="M16" s="154">
        <v>304087</v>
      </c>
      <c r="N16" s="154">
        <v>0</v>
      </c>
      <c r="O16" s="154">
        <v>10000000</v>
      </c>
      <c r="P16" s="154">
        <v>304087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54">
        <v>0</v>
      </c>
      <c r="AB16" s="259" t="s">
        <v>1462</v>
      </c>
      <c r="AC16" s="153">
        <v>747000</v>
      </c>
    </row>
    <row r="17" spans="1:35" s="157" customFormat="1" ht="45" customHeight="1">
      <c r="A17" s="153">
        <f t="shared" si="0"/>
        <v>13</v>
      </c>
      <c r="B17" s="153">
        <v>1588</v>
      </c>
      <c r="C17" s="259" t="s">
        <v>25</v>
      </c>
      <c r="D17" s="154">
        <v>50500000</v>
      </c>
      <c r="E17" s="154">
        <v>50500000</v>
      </c>
      <c r="F17" s="154">
        <v>0</v>
      </c>
      <c r="G17" s="154">
        <v>45500000</v>
      </c>
      <c r="H17" s="154">
        <v>37035422</v>
      </c>
      <c r="I17" s="154">
        <v>0</v>
      </c>
      <c r="J17" s="154">
        <v>29825</v>
      </c>
      <c r="K17" s="154">
        <v>29825</v>
      </c>
      <c r="L17" s="154">
        <v>37065247</v>
      </c>
      <c r="M17" s="154">
        <v>8434753</v>
      </c>
      <c r="N17" s="154">
        <v>0</v>
      </c>
      <c r="O17" s="154">
        <v>5000000</v>
      </c>
      <c r="P17" s="154">
        <v>8434753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259" t="s">
        <v>906</v>
      </c>
      <c r="AC17" s="153">
        <v>742000</v>
      </c>
    </row>
    <row r="18" spans="1:35" s="157" customFormat="1" ht="45" customHeight="1">
      <c r="A18" s="153">
        <f t="shared" si="0"/>
        <v>14</v>
      </c>
      <c r="B18" s="153">
        <v>1615</v>
      </c>
      <c r="C18" s="259" t="s">
        <v>104</v>
      </c>
      <c r="D18" s="154">
        <v>27700000</v>
      </c>
      <c r="E18" s="154">
        <v>27700000</v>
      </c>
      <c r="F18" s="154">
        <v>0</v>
      </c>
      <c r="G18" s="154">
        <v>23700000</v>
      </c>
      <c r="H18" s="154">
        <v>22126262</v>
      </c>
      <c r="I18" s="154">
        <v>0</v>
      </c>
      <c r="J18" s="154">
        <v>501377</v>
      </c>
      <c r="K18" s="154">
        <v>501377</v>
      </c>
      <c r="L18" s="154">
        <v>22627639</v>
      </c>
      <c r="M18" s="154">
        <v>1072361</v>
      </c>
      <c r="N18" s="154">
        <v>0</v>
      </c>
      <c r="O18" s="154">
        <v>4000000</v>
      </c>
      <c r="P18" s="154">
        <v>1072361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54">
        <v>0</v>
      </c>
      <c r="AB18" s="259" t="s">
        <v>1396</v>
      </c>
      <c r="AC18" s="153">
        <v>742000</v>
      </c>
    </row>
    <row r="19" spans="1:35" s="157" customFormat="1" ht="45" customHeight="1">
      <c r="A19" s="153">
        <f t="shared" si="0"/>
        <v>15</v>
      </c>
      <c r="B19" s="153">
        <v>1657</v>
      </c>
      <c r="C19" s="259" t="s">
        <v>27</v>
      </c>
      <c r="D19" s="154">
        <v>60000000</v>
      </c>
      <c r="E19" s="154">
        <v>60000000</v>
      </c>
      <c r="F19" s="154">
        <v>0</v>
      </c>
      <c r="G19" s="154">
        <v>36200000</v>
      </c>
      <c r="H19" s="154">
        <v>22215450</v>
      </c>
      <c r="I19" s="154">
        <v>0</v>
      </c>
      <c r="J19" s="154">
        <v>1832757</v>
      </c>
      <c r="K19" s="154">
        <v>1832757</v>
      </c>
      <c r="L19" s="154">
        <v>24048207</v>
      </c>
      <c r="M19" s="154">
        <v>14151793</v>
      </c>
      <c r="N19" s="154">
        <v>18000000</v>
      </c>
      <c r="O19" s="154">
        <v>3800000</v>
      </c>
      <c r="P19" s="154">
        <v>12151793</v>
      </c>
      <c r="Q19" s="154">
        <v>2000000</v>
      </c>
      <c r="R19" s="154">
        <v>0</v>
      </c>
      <c r="S19" s="154">
        <v>2000000</v>
      </c>
      <c r="T19" s="154">
        <v>0</v>
      </c>
      <c r="U19" s="154">
        <v>18000000</v>
      </c>
      <c r="V19" s="154">
        <v>18000000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259" t="s">
        <v>740</v>
      </c>
      <c r="AC19" s="153">
        <v>742000</v>
      </c>
    </row>
    <row r="20" spans="1:35" s="5" customFormat="1" ht="45" customHeight="1">
      <c r="A20" s="153">
        <f t="shared" si="0"/>
        <v>16</v>
      </c>
      <c r="B20" s="153">
        <v>1670</v>
      </c>
      <c r="C20" s="259" t="s">
        <v>95</v>
      </c>
      <c r="D20" s="154">
        <v>17800000</v>
      </c>
      <c r="E20" s="154">
        <v>17800000</v>
      </c>
      <c r="F20" s="154">
        <v>0</v>
      </c>
      <c r="G20" s="154">
        <v>1850000</v>
      </c>
      <c r="H20" s="154">
        <v>666390</v>
      </c>
      <c r="I20" s="154">
        <v>0</v>
      </c>
      <c r="J20" s="154">
        <v>166551</v>
      </c>
      <c r="K20" s="154">
        <v>166551</v>
      </c>
      <c r="L20" s="154">
        <v>832941</v>
      </c>
      <c r="M20" s="154">
        <v>1717059</v>
      </c>
      <c r="N20" s="154">
        <v>0</v>
      </c>
      <c r="O20" s="154">
        <v>15250000</v>
      </c>
      <c r="P20" s="154">
        <v>1017059</v>
      </c>
      <c r="Q20" s="154">
        <v>700000</v>
      </c>
      <c r="R20" s="154">
        <v>0</v>
      </c>
      <c r="S20" s="154">
        <v>700000</v>
      </c>
      <c r="T20" s="154">
        <v>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54">
        <v>0</v>
      </c>
      <c r="AB20" s="259" t="s">
        <v>555</v>
      </c>
      <c r="AC20" s="3">
        <v>742000</v>
      </c>
      <c r="AD20" s="157"/>
      <c r="AE20" s="157"/>
      <c r="AF20" s="157"/>
      <c r="AG20" s="157"/>
      <c r="AH20" s="157"/>
      <c r="AI20" s="157"/>
    </row>
    <row r="21" spans="1:35" s="5" customFormat="1" ht="45" customHeight="1">
      <c r="A21" s="153">
        <f t="shared" si="0"/>
        <v>17</v>
      </c>
      <c r="B21" s="153">
        <v>1693</v>
      </c>
      <c r="C21" s="259" t="s">
        <v>106</v>
      </c>
      <c r="D21" s="154">
        <v>4500000</v>
      </c>
      <c r="E21" s="154">
        <v>4500000</v>
      </c>
      <c r="F21" s="154">
        <v>0</v>
      </c>
      <c r="G21" s="154">
        <v>2416703</v>
      </c>
      <c r="H21" s="154">
        <v>376078</v>
      </c>
      <c r="I21" s="154">
        <v>567525</v>
      </c>
      <c r="J21" s="154">
        <v>258337</v>
      </c>
      <c r="K21" s="154">
        <v>825862</v>
      </c>
      <c r="L21" s="154">
        <v>1201940</v>
      </c>
      <c r="M21" s="154">
        <v>1214763</v>
      </c>
      <c r="N21" s="154">
        <v>0</v>
      </c>
      <c r="O21" s="154">
        <v>2083297</v>
      </c>
      <c r="P21" s="154">
        <v>1214763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4">
        <v>0</v>
      </c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259" t="s">
        <v>1463</v>
      </c>
      <c r="AC21" s="3">
        <v>732000</v>
      </c>
      <c r="AD21" s="157"/>
      <c r="AE21" s="157"/>
      <c r="AF21" s="157"/>
      <c r="AG21" s="157"/>
      <c r="AH21" s="157"/>
      <c r="AI21" s="157"/>
    </row>
    <row r="22" spans="1:35" s="157" customFormat="1" ht="45" customHeight="1">
      <c r="A22" s="153">
        <f t="shared" si="0"/>
        <v>18</v>
      </c>
      <c r="B22" s="153">
        <v>1723</v>
      </c>
      <c r="C22" s="259" t="s">
        <v>28</v>
      </c>
      <c r="D22" s="154">
        <v>1978521</v>
      </c>
      <c r="E22" s="154">
        <v>2178521</v>
      </c>
      <c r="F22" s="154">
        <v>-200000</v>
      </c>
      <c r="G22" s="154">
        <v>2178521</v>
      </c>
      <c r="H22" s="154">
        <v>1609724</v>
      </c>
      <c r="I22" s="154">
        <v>0</v>
      </c>
      <c r="J22" s="154">
        <v>56665</v>
      </c>
      <c r="K22" s="154">
        <v>56665</v>
      </c>
      <c r="L22" s="154">
        <v>1666389</v>
      </c>
      <c r="M22" s="154">
        <v>312132</v>
      </c>
      <c r="N22" s="154">
        <v>0</v>
      </c>
      <c r="O22" s="154">
        <v>0</v>
      </c>
      <c r="P22" s="154">
        <v>512132</v>
      </c>
      <c r="Q22" s="154">
        <v>0</v>
      </c>
      <c r="R22" s="154">
        <v>0</v>
      </c>
      <c r="S22" s="154">
        <v>0</v>
      </c>
      <c r="T22" s="154">
        <v>200000</v>
      </c>
      <c r="U22" s="154">
        <v>-200000</v>
      </c>
      <c r="V22" s="154">
        <v>-200000</v>
      </c>
      <c r="W22" s="154">
        <v>0</v>
      </c>
      <c r="X22" s="154">
        <v>0</v>
      </c>
      <c r="Y22" s="154">
        <v>0</v>
      </c>
      <c r="Z22" s="154">
        <v>0</v>
      </c>
      <c r="AA22" s="154">
        <v>0</v>
      </c>
      <c r="AB22" s="259" t="s">
        <v>1464</v>
      </c>
      <c r="AC22" s="153">
        <v>732000</v>
      </c>
    </row>
    <row r="23" spans="1:35" s="5" customFormat="1" ht="45" customHeight="1">
      <c r="A23" s="153">
        <f t="shared" si="0"/>
        <v>19</v>
      </c>
      <c r="B23" s="153">
        <v>1773</v>
      </c>
      <c r="C23" s="259" t="s">
        <v>96</v>
      </c>
      <c r="D23" s="154">
        <v>1500000</v>
      </c>
      <c r="E23" s="154">
        <v>1500000</v>
      </c>
      <c r="F23" s="154">
        <v>0</v>
      </c>
      <c r="G23" s="154">
        <v>1500000</v>
      </c>
      <c r="H23" s="154">
        <v>867075</v>
      </c>
      <c r="I23" s="154">
        <v>17401</v>
      </c>
      <c r="J23" s="154">
        <v>254339</v>
      </c>
      <c r="K23" s="154">
        <v>271740</v>
      </c>
      <c r="L23" s="154">
        <v>1138815</v>
      </c>
      <c r="M23" s="154">
        <v>361185</v>
      </c>
      <c r="N23" s="154">
        <v>0</v>
      </c>
      <c r="O23" s="154">
        <v>0</v>
      </c>
      <c r="P23" s="154">
        <v>361185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259" t="s">
        <v>287</v>
      </c>
      <c r="AC23" s="3">
        <v>746000</v>
      </c>
      <c r="AD23" s="157"/>
      <c r="AE23" s="157"/>
      <c r="AF23" s="157"/>
      <c r="AG23" s="157"/>
      <c r="AH23" s="157"/>
      <c r="AI23" s="157"/>
    </row>
    <row r="24" spans="1:35" ht="45" customHeight="1">
      <c r="A24" s="153">
        <f t="shared" si="0"/>
        <v>20</v>
      </c>
      <c r="B24" s="153">
        <v>1819</v>
      </c>
      <c r="C24" s="259" t="s">
        <v>395</v>
      </c>
      <c r="D24" s="154">
        <v>18000000</v>
      </c>
      <c r="E24" s="154">
        <v>18000000</v>
      </c>
      <c r="F24" s="154">
        <v>0</v>
      </c>
      <c r="G24" s="154">
        <v>18000000</v>
      </c>
      <c r="H24" s="154">
        <v>13084929</v>
      </c>
      <c r="I24" s="154">
        <v>0</v>
      </c>
      <c r="J24" s="154">
        <v>1202090</v>
      </c>
      <c r="K24" s="154">
        <v>1202090</v>
      </c>
      <c r="L24" s="154">
        <v>14287019</v>
      </c>
      <c r="M24" s="154">
        <v>3712981</v>
      </c>
      <c r="N24" s="154">
        <v>0</v>
      </c>
      <c r="O24" s="154">
        <v>0</v>
      </c>
      <c r="P24" s="154">
        <v>3712981</v>
      </c>
      <c r="Q24" s="154">
        <v>0</v>
      </c>
      <c r="R24" s="154">
        <v>0</v>
      </c>
      <c r="S24" s="154">
        <v>0</v>
      </c>
      <c r="T24" s="154">
        <v>0</v>
      </c>
      <c r="U24" s="154">
        <v>0</v>
      </c>
      <c r="V24" s="154">
        <v>0</v>
      </c>
      <c r="W24" s="154">
        <v>0</v>
      </c>
      <c r="X24" s="154">
        <v>0</v>
      </c>
      <c r="Y24" s="154">
        <v>0</v>
      </c>
      <c r="Z24" s="154">
        <v>0</v>
      </c>
      <c r="AA24" s="154">
        <v>0</v>
      </c>
      <c r="AB24" s="259" t="s">
        <v>534</v>
      </c>
      <c r="AC24" s="153">
        <v>742000</v>
      </c>
    </row>
    <row r="25" spans="1:35" ht="45" customHeight="1">
      <c r="A25" s="153">
        <f t="shared" si="0"/>
        <v>21</v>
      </c>
      <c r="B25" s="153">
        <v>1833</v>
      </c>
      <c r="C25" s="259" t="s">
        <v>108</v>
      </c>
      <c r="D25" s="154">
        <v>29000000</v>
      </c>
      <c r="E25" s="154">
        <v>29000000</v>
      </c>
      <c r="F25" s="154">
        <v>0</v>
      </c>
      <c r="G25" s="154">
        <v>29000000</v>
      </c>
      <c r="H25" s="154">
        <v>28872030</v>
      </c>
      <c r="I25" s="154">
        <v>0</v>
      </c>
      <c r="J25" s="154">
        <v>53980</v>
      </c>
      <c r="K25" s="154">
        <v>53980</v>
      </c>
      <c r="L25" s="154">
        <v>28926010</v>
      </c>
      <c r="M25" s="154">
        <v>73990</v>
      </c>
      <c r="N25" s="154">
        <v>0</v>
      </c>
      <c r="O25" s="154">
        <v>0</v>
      </c>
      <c r="P25" s="154">
        <v>73990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154">
        <v>0</v>
      </c>
      <c r="Y25" s="154">
        <v>0</v>
      </c>
      <c r="Z25" s="154">
        <v>0</v>
      </c>
      <c r="AA25" s="154">
        <v>0</v>
      </c>
      <c r="AB25" s="259" t="s">
        <v>1465</v>
      </c>
      <c r="AC25" s="153">
        <v>829000</v>
      </c>
    </row>
    <row r="26" spans="1:35" s="157" customFormat="1" ht="55.2">
      <c r="A26" s="153">
        <f t="shared" si="0"/>
        <v>22</v>
      </c>
      <c r="B26" s="153">
        <v>1834</v>
      </c>
      <c r="C26" s="259" t="s">
        <v>102</v>
      </c>
      <c r="D26" s="154">
        <v>62000000</v>
      </c>
      <c r="E26" s="154">
        <v>60000000</v>
      </c>
      <c r="F26" s="154">
        <v>2000000</v>
      </c>
      <c r="G26" s="154">
        <v>50000000</v>
      </c>
      <c r="H26" s="154">
        <v>45562254</v>
      </c>
      <c r="I26" s="154">
        <v>0</v>
      </c>
      <c r="J26" s="154">
        <v>2314702</v>
      </c>
      <c r="K26" s="154">
        <v>2314702</v>
      </c>
      <c r="L26" s="154">
        <v>47876956</v>
      </c>
      <c r="M26" s="154">
        <v>9623044</v>
      </c>
      <c r="N26" s="154">
        <v>4500000</v>
      </c>
      <c r="O26" s="154">
        <v>0</v>
      </c>
      <c r="P26" s="154">
        <v>2123044</v>
      </c>
      <c r="Q26" s="154">
        <v>7500000</v>
      </c>
      <c r="R26" s="154">
        <v>0</v>
      </c>
      <c r="S26" s="154">
        <v>7500000</v>
      </c>
      <c r="T26" s="154">
        <v>0</v>
      </c>
      <c r="U26" s="154">
        <v>4500000</v>
      </c>
      <c r="V26" s="154">
        <v>0</v>
      </c>
      <c r="W26" s="154">
        <v>4500000</v>
      </c>
      <c r="X26" s="154">
        <v>0</v>
      </c>
      <c r="Y26" s="154">
        <v>0</v>
      </c>
      <c r="Z26" s="154">
        <v>0</v>
      </c>
      <c r="AA26" s="154">
        <v>0</v>
      </c>
      <c r="AB26" s="259" t="s">
        <v>907</v>
      </c>
      <c r="AC26" s="153">
        <v>824000</v>
      </c>
    </row>
    <row r="27" spans="1:35" s="157" customFormat="1" ht="45" customHeight="1">
      <c r="A27" s="153">
        <f t="shared" si="0"/>
        <v>23</v>
      </c>
      <c r="B27" s="153">
        <v>1835</v>
      </c>
      <c r="C27" s="259" t="s">
        <v>353</v>
      </c>
      <c r="D27" s="154">
        <v>51500000</v>
      </c>
      <c r="E27" s="154">
        <v>51500000</v>
      </c>
      <c r="F27" s="154">
        <v>0</v>
      </c>
      <c r="G27" s="154">
        <v>21900000</v>
      </c>
      <c r="H27" s="154">
        <v>13919300</v>
      </c>
      <c r="I27" s="154">
        <v>0</v>
      </c>
      <c r="J27" s="154">
        <v>2805422</v>
      </c>
      <c r="K27" s="154">
        <v>2805422</v>
      </c>
      <c r="L27" s="154">
        <v>16724722</v>
      </c>
      <c r="M27" s="154">
        <v>5175278</v>
      </c>
      <c r="N27" s="154">
        <v>0</v>
      </c>
      <c r="O27" s="154">
        <v>29600000</v>
      </c>
      <c r="P27" s="154">
        <v>5175278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154">
        <v>0</v>
      </c>
      <c r="Y27" s="154">
        <v>0</v>
      </c>
      <c r="Z27" s="154">
        <v>0</v>
      </c>
      <c r="AA27" s="154">
        <v>0</v>
      </c>
      <c r="AB27" s="259" t="s">
        <v>815</v>
      </c>
      <c r="AC27" s="153">
        <v>824000</v>
      </c>
    </row>
    <row r="28" spans="1:35" ht="45" customHeight="1">
      <c r="A28" s="153">
        <f t="shared" si="0"/>
        <v>24</v>
      </c>
      <c r="B28" s="153">
        <v>1845</v>
      </c>
      <c r="C28" s="259" t="s">
        <v>109</v>
      </c>
      <c r="D28" s="154">
        <v>6000000</v>
      </c>
      <c r="E28" s="154">
        <v>6000000</v>
      </c>
      <c r="F28" s="154">
        <v>0</v>
      </c>
      <c r="G28" s="154">
        <v>1940000</v>
      </c>
      <c r="H28" s="154">
        <v>1818447</v>
      </c>
      <c r="I28" s="154">
        <v>0</v>
      </c>
      <c r="J28" s="154">
        <v>76290</v>
      </c>
      <c r="K28" s="154">
        <v>76290</v>
      </c>
      <c r="L28" s="154">
        <v>1894737</v>
      </c>
      <c r="M28" s="154">
        <v>545263</v>
      </c>
      <c r="N28" s="154">
        <v>300000</v>
      </c>
      <c r="O28" s="154">
        <v>3260000</v>
      </c>
      <c r="P28" s="154">
        <v>45263</v>
      </c>
      <c r="Q28" s="154">
        <v>500000</v>
      </c>
      <c r="R28" s="154">
        <v>0</v>
      </c>
      <c r="S28" s="154">
        <v>500000</v>
      </c>
      <c r="T28" s="154">
        <v>0</v>
      </c>
      <c r="U28" s="154">
        <v>300000</v>
      </c>
      <c r="V28" s="154">
        <v>300000</v>
      </c>
      <c r="W28" s="154">
        <v>0</v>
      </c>
      <c r="X28" s="154">
        <v>0</v>
      </c>
      <c r="Y28" s="154">
        <v>0</v>
      </c>
      <c r="Z28" s="154">
        <v>0</v>
      </c>
      <c r="AA28" s="154">
        <v>0</v>
      </c>
      <c r="AB28" s="259" t="s">
        <v>620</v>
      </c>
      <c r="AC28" s="153">
        <v>742000</v>
      </c>
    </row>
    <row r="29" spans="1:35" ht="45" customHeight="1">
      <c r="A29" s="153">
        <f t="shared" si="0"/>
        <v>25</v>
      </c>
      <c r="B29" s="153">
        <v>1896</v>
      </c>
      <c r="C29" s="259" t="s">
        <v>354</v>
      </c>
      <c r="D29" s="154">
        <v>7800000</v>
      </c>
      <c r="E29" s="154">
        <v>7800000</v>
      </c>
      <c r="F29" s="154">
        <v>0</v>
      </c>
      <c r="G29" s="154">
        <v>7800000</v>
      </c>
      <c r="H29" s="154">
        <v>3154494</v>
      </c>
      <c r="I29" s="154">
        <v>0</v>
      </c>
      <c r="J29" s="154">
        <v>0</v>
      </c>
      <c r="K29" s="154">
        <v>0</v>
      </c>
      <c r="L29" s="154">
        <v>3154494</v>
      </c>
      <c r="M29" s="154">
        <v>4645506</v>
      </c>
      <c r="N29" s="154">
        <v>0</v>
      </c>
      <c r="O29" s="154">
        <v>0</v>
      </c>
      <c r="P29" s="154">
        <v>4645506</v>
      </c>
      <c r="Q29" s="154">
        <v>0</v>
      </c>
      <c r="R29" s="154">
        <v>0</v>
      </c>
      <c r="S29" s="154">
        <v>0</v>
      </c>
      <c r="T29" s="154">
        <v>0</v>
      </c>
      <c r="U29" s="154">
        <v>0</v>
      </c>
      <c r="V29" s="154">
        <v>0</v>
      </c>
      <c r="W29" s="154">
        <v>0</v>
      </c>
      <c r="X29" s="154">
        <v>0</v>
      </c>
      <c r="Y29" s="154">
        <v>0</v>
      </c>
      <c r="Z29" s="154">
        <v>0</v>
      </c>
      <c r="AA29" s="154">
        <v>0</v>
      </c>
      <c r="AB29" s="259" t="s">
        <v>1286</v>
      </c>
      <c r="AC29" s="153">
        <v>829000</v>
      </c>
    </row>
    <row r="30" spans="1:35" ht="45" customHeight="1">
      <c r="A30" s="153">
        <f t="shared" si="0"/>
        <v>26</v>
      </c>
      <c r="B30" s="153">
        <v>1921</v>
      </c>
      <c r="C30" s="259" t="s">
        <v>111</v>
      </c>
      <c r="D30" s="154">
        <v>29716000</v>
      </c>
      <c r="E30" s="154">
        <v>9716000</v>
      </c>
      <c r="F30" s="154">
        <v>20000000</v>
      </c>
      <c r="G30" s="154">
        <v>9716000</v>
      </c>
      <c r="H30" s="154">
        <v>9564142</v>
      </c>
      <c r="I30" s="154">
        <v>0</v>
      </c>
      <c r="J30" s="154">
        <v>60611</v>
      </c>
      <c r="K30" s="154">
        <v>60611</v>
      </c>
      <c r="L30" s="154">
        <v>9624753</v>
      </c>
      <c r="M30" s="154">
        <v>91247</v>
      </c>
      <c r="N30" s="154">
        <v>4000000</v>
      </c>
      <c r="O30" s="154">
        <v>16000000</v>
      </c>
      <c r="P30" s="154">
        <v>91247</v>
      </c>
      <c r="Q30" s="154">
        <v>0</v>
      </c>
      <c r="R30" s="154">
        <v>0</v>
      </c>
      <c r="S30" s="154">
        <v>0</v>
      </c>
      <c r="T30" s="154">
        <v>0</v>
      </c>
      <c r="U30" s="154">
        <v>4000000</v>
      </c>
      <c r="V30" s="154">
        <v>4000000</v>
      </c>
      <c r="W30" s="154">
        <v>0</v>
      </c>
      <c r="X30" s="154">
        <v>0</v>
      </c>
      <c r="Y30" s="154">
        <v>0</v>
      </c>
      <c r="Z30" s="154">
        <v>0</v>
      </c>
      <c r="AA30" s="154">
        <v>0</v>
      </c>
      <c r="AB30" s="259" t="s">
        <v>1287</v>
      </c>
      <c r="AC30" s="153">
        <v>829000</v>
      </c>
    </row>
    <row r="31" spans="1:35" ht="45" customHeight="1">
      <c r="A31" s="153">
        <f t="shared" si="0"/>
        <v>27</v>
      </c>
      <c r="B31" s="153">
        <v>1953</v>
      </c>
      <c r="C31" s="259" t="s">
        <v>355</v>
      </c>
      <c r="D31" s="154">
        <v>5300000</v>
      </c>
      <c r="E31" s="154">
        <v>5300000</v>
      </c>
      <c r="F31" s="154">
        <v>0</v>
      </c>
      <c r="G31" s="154">
        <v>5300000</v>
      </c>
      <c r="H31" s="154">
        <v>5259109</v>
      </c>
      <c r="I31" s="154">
        <v>0</v>
      </c>
      <c r="J31" s="154">
        <v>35571</v>
      </c>
      <c r="K31" s="154">
        <v>35571</v>
      </c>
      <c r="L31" s="154">
        <v>5294680</v>
      </c>
      <c r="M31" s="154">
        <v>5320</v>
      </c>
      <c r="N31" s="154">
        <v>0</v>
      </c>
      <c r="O31" s="154">
        <v>0</v>
      </c>
      <c r="P31" s="154">
        <v>5320</v>
      </c>
      <c r="Q31" s="154">
        <v>0</v>
      </c>
      <c r="R31" s="154">
        <v>0</v>
      </c>
      <c r="S31" s="154">
        <v>0</v>
      </c>
      <c r="T31" s="154">
        <v>0</v>
      </c>
      <c r="U31" s="154">
        <v>0</v>
      </c>
      <c r="V31" s="154">
        <v>0</v>
      </c>
      <c r="W31" s="154">
        <v>0</v>
      </c>
      <c r="X31" s="154">
        <v>0</v>
      </c>
      <c r="Y31" s="154">
        <v>0</v>
      </c>
      <c r="Z31" s="154">
        <v>0</v>
      </c>
      <c r="AA31" s="154">
        <v>0</v>
      </c>
      <c r="AB31" s="259" t="s">
        <v>1203</v>
      </c>
      <c r="AC31" s="153">
        <v>742000</v>
      </c>
    </row>
    <row r="32" spans="1:35" ht="45" customHeight="1">
      <c r="A32" s="153">
        <f t="shared" si="0"/>
        <v>28</v>
      </c>
      <c r="B32" s="153">
        <v>1957</v>
      </c>
      <c r="C32" s="259" t="s">
        <v>273</v>
      </c>
      <c r="D32" s="154">
        <v>60000000</v>
      </c>
      <c r="E32" s="154">
        <v>60000000</v>
      </c>
      <c r="F32" s="154">
        <v>0</v>
      </c>
      <c r="G32" s="154">
        <v>19026967</v>
      </c>
      <c r="H32" s="154">
        <v>4856729</v>
      </c>
      <c r="I32" s="154">
        <v>0</v>
      </c>
      <c r="J32" s="154">
        <v>1339476</v>
      </c>
      <c r="K32" s="154">
        <v>1339476</v>
      </c>
      <c r="L32" s="154">
        <v>6196205</v>
      </c>
      <c r="M32" s="154">
        <v>12830762</v>
      </c>
      <c r="N32" s="154">
        <v>17000000</v>
      </c>
      <c r="O32" s="154">
        <v>23973033</v>
      </c>
      <c r="P32" s="154">
        <v>12830762</v>
      </c>
      <c r="Q32" s="154">
        <v>0</v>
      </c>
      <c r="R32" s="154">
        <v>0</v>
      </c>
      <c r="S32" s="154">
        <v>0</v>
      </c>
      <c r="T32" s="154">
        <v>0</v>
      </c>
      <c r="U32" s="154">
        <v>17000000</v>
      </c>
      <c r="V32" s="154">
        <v>11851666</v>
      </c>
      <c r="W32" s="154">
        <v>0</v>
      </c>
      <c r="X32" s="154">
        <v>0</v>
      </c>
      <c r="Y32" s="154">
        <v>0</v>
      </c>
      <c r="Z32" s="154">
        <v>0</v>
      </c>
      <c r="AA32" s="154">
        <v>5148334</v>
      </c>
      <c r="AB32" s="259" t="s">
        <v>1196</v>
      </c>
      <c r="AC32" s="153">
        <v>810000</v>
      </c>
    </row>
    <row r="33" spans="1:35" ht="45" customHeight="1">
      <c r="A33" s="153">
        <f t="shared" si="0"/>
        <v>29</v>
      </c>
      <c r="B33" s="153">
        <v>1961</v>
      </c>
      <c r="C33" s="259" t="s">
        <v>128</v>
      </c>
      <c r="D33" s="154">
        <v>128000000</v>
      </c>
      <c r="E33" s="154">
        <v>128000000</v>
      </c>
      <c r="F33" s="154">
        <v>0</v>
      </c>
      <c r="G33" s="154">
        <v>500000</v>
      </c>
      <c r="H33" s="154">
        <v>0</v>
      </c>
      <c r="I33" s="154">
        <v>0</v>
      </c>
      <c r="J33" s="154">
        <v>0</v>
      </c>
      <c r="K33" s="154">
        <v>0</v>
      </c>
      <c r="L33" s="154">
        <v>0</v>
      </c>
      <c r="M33" s="154">
        <v>500000</v>
      </c>
      <c r="N33" s="154">
        <v>1000000</v>
      </c>
      <c r="O33" s="154">
        <v>126500000</v>
      </c>
      <c r="P33" s="154">
        <v>500000</v>
      </c>
      <c r="Q33" s="154">
        <v>0</v>
      </c>
      <c r="R33" s="154">
        <v>0</v>
      </c>
      <c r="S33" s="154">
        <v>0</v>
      </c>
      <c r="T33" s="154">
        <v>0</v>
      </c>
      <c r="U33" s="154">
        <v>1000000</v>
      </c>
      <c r="V33" s="154">
        <v>1000000</v>
      </c>
      <c r="W33" s="154">
        <v>0</v>
      </c>
      <c r="X33" s="154">
        <v>0</v>
      </c>
      <c r="Y33" s="154">
        <v>0</v>
      </c>
      <c r="Z33" s="154">
        <v>0</v>
      </c>
      <c r="AA33" s="154">
        <v>0</v>
      </c>
      <c r="AB33" s="259" t="s">
        <v>1466</v>
      </c>
      <c r="AC33" s="153">
        <v>742000</v>
      </c>
    </row>
    <row r="34" spans="1:35" customFormat="1" ht="45" customHeight="1">
      <c r="A34" s="153">
        <f t="shared" si="0"/>
        <v>30</v>
      </c>
      <c r="B34" s="153">
        <v>2001</v>
      </c>
      <c r="C34" s="259" t="s">
        <v>133</v>
      </c>
      <c r="D34" s="154">
        <v>18500000</v>
      </c>
      <c r="E34" s="154">
        <v>18500000</v>
      </c>
      <c r="F34" s="154">
        <v>0</v>
      </c>
      <c r="G34" s="154">
        <v>8398700</v>
      </c>
      <c r="H34" s="154">
        <v>592347</v>
      </c>
      <c r="I34" s="154">
        <v>7007029</v>
      </c>
      <c r="J34" s="154">
        <v>35009</v>
      </c>
      <c r="K34" s="154">
        <v>7042038</v>
      </c>
      <c r="L34" s="154">
        <v>7634385</v>
      </c>
      <c r="M34" s="154">
        <v>764315</v>
      </c>
      <c r="N34" s="154">
        <v>0</v>
      </c>
      <c r="O34" s="154">
        <v>10101300</v>
      </c>
      <c r="P34" s="154">
        <v>764315</v>
      </c>
      <c r="Q34" s="154">
        <v>0</v>
      </c>
      <c r="R34" s="154">
        <v>0</v>
      </c>
      <c r="S34" s="154">
        <v>0</v>
      </c>
      <c r="T34" s="154">
        <v>0</v>
      </c>
      <c r="U34" s="154">
        <v>0</v>
      </c>
      <c r="V34" s="154">
        <v>0</v>
      </c>
      <c r="W34" s="154">
        <v>0</v>
      </c>
      <c r="X34" s="154">
        <v>0</v>
      </c>
      <c r="Y34" s="154">
        <v>0</v>
      </c>
      <c r="Z34" s="154">
        <v>0</v>
      </c>
      <c r="AA34" s="154">
        <v>0</v>
      </c>
      <c r="AB34" s="259" t="s">
        <v>1467</v>
      </c>
      <c r="AC34" s="3">
        <v>810000</v>
      </c>
      <c r="AD34" s="157"/>
      <c r="AE34" s="157"/>
      <c r="AF34" s="157"/>
      <c r="AG34" s="157"/>
    </row>
    <row r="35" spans="1:35" s="162" customFormat="1" ht="45" customHeight="1">
      <c r="A35" s="153">
        <f t="shared" si="0"/>
        <v>31</v>
      </c>
      <c r="B35" s="153">
        <v>2002</v>
      </c>
      <c r="C35" s="259" t="s">
        <v>139</v>
      </c>
      <c r="D35" s="154">
        <v>1500000</v>
      </c>
      <c r="E35" s="154">
        <v>1500000</v>
      </c>
      <c r="F35" s="154">
        <v>0</v>
      </c>
      <c r="G35" s="154">
        <v>1500000</v>
      </c>
      <c r="H35" s="154">
        <v>1005668</v>
      </c>
      <c r="I35" s="154">
        <v>0</v>
      </c>
      <c r="J35" s="154">
        <v>116278</v>
      </c>
      <c r="K35" s="154">
        <v>116278</v>
      </c>
      <c r="L35" s="154">
        <v>1121946</v>
      </c>
      <c r="M35" s="154">
        <v>378054</v>
      </c>
      <c r="N35" s="154">
        <v>0</v>
      </c>
      <c r="O35" s="154">
        <v>0</v>
      </c>
      <c r="P35" s="154">
        <v>378054</v>
      </c>
      <c r="Q35" s="154">
        <v>0</v>
      </c>
      <c r="R35" s="154">
        <v>0</v>
      </c>
      <c r="S35" s="154">
        <v>0</v>
      </c>
      <c r="T35" s="154">
        <v>0</v>
      </c>
      <c r="U35" s="154">
        <v>0</v>
      </c>
      <c r="V35" s="154">
        <v>0</v>
      </c>
      <c r="W35" s="154">
        <v>0</v>
      </c>
      <c r="X35" s="154">
        <v>0</v>
      </c>
      <c r="Y35" s="154">
        <v>0</v>
      </c>
      <c r="Z35" s="154">
        <v>0</v>
      </c>
      <c r="AA35" s="154">
        <v>0</v>
      </c>
      <c r="AB35" s="259" t="s">
        <v>1290</v>
      </c>
      <c r="AC35" s="418">
        <v>742000</v>
      </c>
      <c r="AD35" s="157"/>
      <c r="AE35" s="157"/>
      <c r="AF35" s="157"/>
      <c r="AG35" s="157"/>
      <c r="AH35" s="157"/>
      <c r="AI35" s="157"/>
    </row>
    <row r="36" spans="1:35" s="162" customFormat="1" ht="45" customHeight="1">
      <c r="A36" s="153">
        <f t="shared" si="0"/>
        <v>32</v>
      </c>
      <c r="B36" s="153">
        <v>2008</v>
      </c>
      <c r="C36" s="259" t="s">
        <v>261</v>
      </c>
      <c r="D36" s="154">
        <v>2500000</v>
      </c>
      <c r="E36" s="154">
        <v>2500000</v>
      </c>
      <c r="F36" s="154">
        <v>0</v>
      </c>
      <c r="G36" s="154">
        <v>250000</v>
      </c>
      <c r="H36" s="154">
        <v>0</v>
      </c>
      <c r="I36" s="154">
        <v>0</v>
      </c>
      <c r="J36" s="154">
        <v>0</v>
      </c>
      <c r="K36" s="154">
        <v>0</v>
      </c>
      <c r="L36" s="154">
        <v>0</v>
      </c>
      <c r="M36" s="154">
        <v>0</v>
      </c>
      <c r="N36" s="154">
        <v>750000</v>
      </c>
      <c r="O36" s="154">
        <v>1750000</v>
      </c>
      <c r="P36" s="154">
        <v>250000</v>
      </c>
      <c r="Q36" s="154">
        <v>0</v>
      </c>
      <c r="R36" s="154">
        <v>0</v>
      </c>
      <c r="S36" s="154">
        <v>0</v>
      </c>
      <c r="T36" s="154">
        <v>250000</v>
      </c>
      <c r="U36" s="154">
        <v>500000</v>
      </c>
      <c r="V36" s="154">
        <v>500000</v>
      </c>
      <c r="W36" s="154">
        <v>0</v>
      </c>
      <c r="X36" s="154">
        <v>0</v>
      </c>
      <c r="Y36" s="154">
        <v>0</v>
      </c>
      <c r="Z36" s="154">
        <v>0</v>
      </c>
      <c r="AA36" s="154">
        <v>0</v>
      </c>
      <c r="AB36" s="259" t="s">
        <v>536</v>
      </c>
      <c r="AC36" s="153">
        <v>742000</v>
      </c>
      <c r="AD36" s="157"/>
      <c r="AE36" s="157"/>
      <c r="AF36" s="157"/>
      <c r="AG36" s="157"/>
      <c r="AH36" s="157"/>
      <c r="AI36" s="157"/>
    </row>
    <row r="37" spans="1:35" s="5" customFormat="1" ht="55.2">
      <c r="A37" s="153">
        <f t="shared" si="0"/>
        <v>33</v>
      </c>
      <c r="B37" s="153">
        <v>2009</v>
      </c>
      <c r="C37" s="259" t="s">
        <v>227</v>
      </c>
      <c r="D37" s="154">
        <v>13700000</v>
      </c>
      <c r="E37" s="154">
        <v>13700000</v>
      </c>
      <c r="F37" s="154">
        <v>0</v>
      </c>
      <c r="G37" s="154">
        <v>2200000</v>
      </c>
      <c r="H37" s="154">
        <v>188934</v>
      </c>
      <c r="I37" s="154">
        <v>0</v>
      </c>
      <c r="J37" s="154">
        <v>15817</v>
      </c>
      <c r="K37" s="154">
        <v>15817</v>
      </c>
      <c r="L37" s="154">
        <v>204751</v>
      </c>
      <c r="M37" s="154">
        <v>995249</v>
      </c>
      <c r="N37" s="154">
        <v>3000000</v>
      </c>
      <c r="O37" s="154">
        <v>9500000</v>
      </c>
      <c r="P37" s="154">
        <v>1995249</v>
      </c>
      <c r="Q37" s="154">
        <v>0</v>
      </c>
      <c r="R37" s="154">
        <v>0</v>
      </c>
      <c r="S37" s="154">
        <v>0</v>
      </c>
      <c r="T37" s="154">
        <v>1000000</v>
      </c>
      <c r="U37" s="154">
        <v>2000000</v>
      </c>
      <c r="V37" s="154">
        <v>2000000</v>
      </c>
      <c r="W37" s="154">
        <v>0</v>
      </c>
      <c r="X37" s="154">
        <v>0</v>
      </c>
      <c r="Y37" s="154">
        <v>0</v>
      </c>
      <c r="Z37" s="154">
        <v>0</v>
      </c>
      <c r="AA37" s="154">
        <v>0</v>
      </c>
      <c r="AB37" s="259" t="s">
        <v>553</v>
      </c>
      <c r="AC37" s="3">
        <v>742000</v>
      </c>
      <c r="AD37" s="157"/>
      <c r="AE37" s="157"/>
      <c r="AF37" s="157"/>
      <c r="AG37" s="157"/>
      <c r="AH37" s="157"/>
      <c r="AI37" s="157"/>
    </row>
    <row r="38" spans="1:35" s="5" customFormat="1" ht="45" customHeight="1">
      <c r="A38" s="153">
        <f t="shared" si="0"/>
        <v>34</v>
      </c>
      <c r="B38" s="153">
        <v>2011</v>
      </c>
      <c r="C38" s="259" t="s">
        <v>844</v>
      </c>
      <c r="D38" s="154">
        <v>80000000</v>
      </c>
      <c r="E38" s="154">
        <v>80000000</v>
      </c>
      <c r="F38" s="154">
        <v>0</v>
      </c>
      <c r="G38" s="154">
        <v>22562673</v>
      </c>
      <c r="H38" s="154">
        <v>2947419</v>
      </c>
      <c r="I38" s="154">
        <v>0</v>
      </c>
      <c r="J38" s="154">
        <v>908853</v>
      </c>
      <c r="K38" s="154">
        <v>908853</v>
      </c>
      <c r="L38" s="154">
        <v>3856272</v>
      </c>
      <c r="M38" s="154">
        <v>26706401</v>
      </c>
      <c r="N38" s="154">
        <v>18000000</v>
      </c>
      <c r="O38" s="154">
        <v>31437327</v>
      </c>
      <c r="P38" s="154">
        <v>18706401</v>
      </c>
      <c r="Q38" s="154">
        <v>8000000</v>
      </c>
      <c r="R38" s="154">
        <v>0</v>
      </c>
      <c r="S38" s="154">
        <v>8000000</v>
      </c>
      <c r="T38" s="154">
        <v>0</v>
      </c>
      <c r="U38" s="154">
        <v>18000000</v>
      </c>
      <c r="V38" s="154">
        <v>18000000</v>
      </c>
      <c r="W38" s="154">
        <v>0</v>
      </c>
      <c r="X38" s="154">
        <v>0</v>
      </c>
      <c r="Y38" s="154">
        <v>0</v>
      </c>
      <c r="Z38" s="154">
        <v>0</v>
      </c>
      <c r="AA38" s="154">
        <v>0</v>
      </c>
      <c r="AB38" s="259" t="s">
        <v>622</v>
      </c>
      <c r="AC38" s="3">
        <v>742000</v>
      </c>
      <c r="AD38" s="157"/>
      <c r="AE38" s="157"/>
      <c r="AF38" s="157"/>
      <c r="AG38" s="157"/>
      <c r="AH38" s="157"/>
      <c r="AI38" s="157"/>
    </row>
    <row r="39" spans="1:35" s="162" customFormat="1" ht="45" customHeight="1">
      <c r="A39" s="153">
        <f t="shared" si="0"/>
        <v>35</v>
      </c>
      <c r="B39" s="153">
        <v>2015</v>
      </c>
      <c r="C39" s="259" t="s">
        <v>804</v>
      </c>
      <c r="D39" s="154">
        <v>54000000</v>
      </c>
      <c r="E39" s="154">
        <v>54000000</v>
      </c>
      <c r="F39" s="154">
        <v>0</v>
      </c>
      <c r="G39" s="154">
        <v>30500000</v>
      </c>
      <c r="H39" s="154">
        <v>8925747</v>
      </c>
      <c r="I39" s="154">
        <v>0</v>
      </c>
      <c r="J39" s="154">
        <v>448630</v>
      </c>
      <c r="K39" s="154">
        <v>448630</v>
      </c>
      <c r="L39" s="154">
        <v>9374377</v>
      </c>
      <c r="M39" s="154">
        <v>25359654</v>
      </c>
      <c r="N39" s="154">
        <v>11000000</v>
      </c>
      <c r="O39" s="154">
        <v>8265969</v>
      </c>
      <c r="P39" s="154">
        <v>21125623</v>
      </c>
      <c r="Q39" s="154">
        <v>4234031</v>
      </c>
      <c r="R39" s="154">
        <v>0</v>
      </c>
      <c r="S39" s="154">
        <v>4234031</v>
      </c>
      <c r="T39" s="154">
        <v>0</v>
      </c>
      <c r="U39" s="154">
        <v>11000000</v>
      </c>
      <c r="V39" s="154">
        <v>11000000</v>
      </c>
      <c r="W39" s="154">
        <v>0</v>
      </c>
      <c r="X39" s="154">
        <v>0</v>
      </c>
      <c r="Y39" s="154">
        <v>0</v>
      </c>
      <c r="Z39" s="154">
        <v>0</v>
      </c>
      <c r="AA39" s="154">
        <v>0</v>
      </c>
      <c r="AB39" s="259" t="s">
        <v>1468</v>
      </c>
      <c r="AC39" s="153">
        <v>810000</v>
      </c>
      <c r="AD39" s="157"/>
      <c r="AE39" s="157"/>
      <c r="AF39" s="157"/>
      <c r="AG39" s="157"/>
      <c r="AH39" s="157"/>
      <c r="AI39" s="157"/>
    </row>
    <row r="40" spans="1:35" ht="45" customHeight="1">
      <c r="A40" s="153">
        <f t="shared" si="0"/>
        <v>36</v>
      </c>
      <c r="B40" s="153">
        <v>2017</v>
      </c>
      <c r="C40" s="259" t="s">
        <v>845</v>
      </c>
      <c r="D40" s="154">
        <v>37100000</v>
      </c>
      <c r="E40" s="154">
        <v>37100000</v>
      </c>
      <c r="F40" s="154">
        <v>0</v>
      </c>
      <c r="G40" s="154">
        <v>5500000</v>
      </c>
      <c r="H40" s="154">
        <v>3211393</v>
      </c>
      <c r="I40" s="154">
        <v>0</v>
      </c>
      <c r="J40" s="154">
        <v>453666</v>
      </c>
      <c r="K40" s="154">
        <v>453666</v>
      </c>
      <c r="L40" s="154">
        <v>3665059</v>
      </c>
      <c r="M40" s="154">
        <v>6334941</v>
      </c>
      <c r="N40" s="154">
        <v>17100000</v>
      </c>
      <c r="O40" s="154">
        <v>10000000</v>
      </c>
      <c r="P40" s="154">
        <v>1834941</v>
      </c>
      <c r="Q40" s="154">
        <v>4500000</v>
      </c>
      <c r="R40" s="154">
        <v>0</v>
      </c>
      <c r="S40" s="154">
        <v>4500000</v>
      </c>
      <c r="T40" s="154">
        <v>0</v>
      </c>
      <c r="U40" s="154">
        <v>17100000</v>
      </c>
      <c r="V40" s="154">
        <v>17100000</v>
      </c>
      <c r="W40" s="154">
        <v>0</v>
      </c>
      <c r="X40" s="154">
        <v>0</v>
      </c>
      <c r="Y40" s="154">
        <v>0</v>
      </c>
      <c r="Z40" s="154">
        <v>0</v>
      </c>
      <c r="AA40" s="154">
        <v>0</v>
      </c>
      <c r="AB40" s="259" t="s">
        <v>537</v>
      </c>
      <c r="AC40" s="153">
        <v>824000</v>
      </c>
    </row>
    <row r="41" spans="1:35" ht="45" customHeight="1">
      <c r="A41" s="153">
        <f t="shared" si="0"/>
        <v>37</v>
      </c>
      <c r="B41" s="153">
        <v>2018</v>
      </c>
      <c r="C41" s="259" t="s">
        <v>274</v>
      </c>
      <c r="D41" s="154">
        <v>3600000</v>
      </c>
      <c r="E41" s="154">
        <v>6600000</v>
      </c>
      <c r="F41" s="154">
        <v>-3000000</v>
      </c>
      <c r="G41" s="154">
        <v>6600000</v>
      </c>
      <c r="H41" s="154">
        <v>2969399</v>
      </c>
      <c r="I41" s="154">
        <v>0</v>
      </c>
      <c r="J41" s="154">
        <v>167410</v>
      </c>
      <c r="K41" s="154">
        <v>167410</v>
      </c>
      <c r="L41" s="154">
        <v>3136809</v>
      </c>
      <c r="M41" s="154">
        <v>463191</v>
      </c>
      <c r="N41" s="154">
        <v>0</v>
      </c>
      <c r="O41" s="154">
        <v>0</v>
      </c>
      <c r="P41" s="154">
        <v>3463191</v>
      </c>
      <c r="Q41" s="154">
        <v>0</v>
      </c>
      <c r="R41" s="154">
        <v>0</v>
      </c>
      <c r="S41" s="154">
        <v>0</v>
      </c>
      <c r="T41" s="154">
        <v>3000000</v>
      </c>
      <c r="U41" s="154">
        <v>-3000000</v>
      </c>
      <c r="V41" s="154">
        <v>-3000000</v>
      </c>
      <c r="W41" s="154">
        <v>0</v>
      </c>
      <c r="X41" s="154">
        <v>0</v>
      </c>
      <c r="Y41" s="154">
        <v>0</v>
      </c>
      <c r="Z41" s="154">
        <v>0</v>
      </c>
      <c r="AA41" s="154">
        <v>0</v>
      </c>
      <c r="AB41" s="259" t="s">
        <v>1469</v>
      </c>
      <c r="AC41" s="153">
        <v>742000</v>
      </c>
    </row>
    <row r="42" spans="1:35" s="157" customFormat="1" ht="45" customHeight="1">
      <c r="A42" s="153">
        <f t="shared" si="0"/>
        <v>38</v>
      </c>
      <c r="B42" s="153">
        <v>2022</v>
      </c>
      <c r="C42" s="259" t="s">
        <v>846</v>
      </c>
      <c r="D42" s="154">
        <v>14000000</v>
      </c>
      <c r="E42" s="154">
        <v>14000000</v>
      </c>
      <c r="F42" s="154">
        <v>0</v>
      </c>
      <c r="G42" s="154">
        <v>14000000</v>
      </c>
      <c r="H42" s="154">
        <v>9150426</v>
      </c>
      <c r="I42" s="154">
        <v>0</v>
      </c>
      <c r="J42" s="154">
        <v>278775</v>
      </c>
      <c r="K42" s="154">
        <v>278775</v>
      </c>
      <c r="L42" s="154">
        <v>9429201</v>
      </c>
      <c r="M42" s="154">
        <v>4570799</v>
      </c>
      <c r="N42" s="154">
        <v>0</v>
      </c>
      <c r="O42" s="154">
        <v>0</v>
      </c>
      <c r="P42" s="154">
        <v>4570799</v>
      </c>
      <c r="Q42" s="154">
        <v>0</v>
      </c>
      <c r="R42" s="154">
        <v>0</v>
      </c>
      <c r="S42" s="154">
        <v>0</v>
      </c>
      <c r="T42" s="154">
        <v>0</v>
      </c>
      <c r="U42" s="154">
        <v>0</v>
      </c>
      <c r="V42" s="154">
        <v>0</v>
      </c>
      <c r="W42" s="154">
        <v>0</v>
      </c>
      <c r="X42" s="154">
        <v>0</v>
      </c>
      <c r="Y42" s="154">
        <v>0</v>
      </c>
      <c r="Z42" s="154">
        <v>0</v>
      </c>
      <c r="AA42" s="154">
        <v>0</v>
      </c>
      <c r="AB42" s="259" t="s">
        <v>1470</v>
      </c>
      <c r="AC42" s="153">
        <v>829000</v>
      </c>
    </row>
    <row r="43" spans="1:35" s="157" customFormat="1" ht="45" customHeight="1">
      <c r="A43" s="153">
        <f t="shared" si="0"/>
        <v>39</v>
      </c>
      <c r="B43" s="153">
        <v>2023</v>
      </c>
      <c r="C43" s="259" t="s">
        <v>1356</v>
      </c>
      <c r="D43" s="154">
        <v>7340000</v>
      </c>
      <c r="E43" s="154">
        <v>7340000</v>
      </c>
      <c r="F43" s="154">
        <v>0</v>
      </c>
      <c r="G43" s="154">
        <v>230000</v>
      </c>
      <c r="H43" s="154">
        <v>228151</v>
      </c>
      <c r="I43" s="154">
        <v>0</v>
      </c>
      <c r="J43" s="154">
        <v>0</v>
      </c>
      <c r="K43" s="154">
        <v>0</v>
      </c>
      <c r="L43" s="154">
        <v>228151</v>
      </c>
      <c r="M43" s="154">
        <v>1849</v>
      </c>
      <c r="N43" s="154">
        <v>0</v>
      </c>
      <c r="O43" s="154">
        <v>7110000</v>
      </c>
      <c r="P43" s="154">
        <v>1849</v>
      </c>
      <c r="Q43" s="154">
        <v>0</v>
      </c>
      <c r="R43" s="154">
        <v>0</v>
      </c>
      <c r="S43" s="154">
        <v>0</v>
      </c>
      <c r="T43" s="154">
        <v>0</v>
      </c>
      <c r="U43" s="154">
        <v>0</v>
      </c>
      <c r="V43" s="154">
        <v>0</v>
      </c>
      <c r="W43" s="154">
        <v>0</v>
      </c>
      <c r="X43" s="154">
        <v>0</v>
      </c>
      <c r="Y43" s="154">
        <v>0</v>
      </c>
      <c r="Z43" s="154">
        <v>0</v>
      </c>
      <c r="AA43" s="154">
        <v>0</v>
      </c>
      <c r="AB43" s="259" t="s">
        <v>1471</v>
      </c>
      <c r="AC43" s="153">
        <v>810000</v>
      </c>
    </row>
    <row r="44" spans="1:35" s="157" customFormat="1" ht="45" customHeight="1">
      <c r="A44" s="153">
        <f t="shared" si="0"/>
        <v>40</v>
      </c>
      <c r="B44" s="153">
        <v>2024</v>
      </c>
      <c r="C44" s="259" t="s">
        <v>275</v>
      </c>
      <c r="D44" s="154">
        <v>16300000</v>
      </c>
      <c r="E44" s="154">
        <v>16300000</v>
      </c>
      <c r="F44" s="154">
        <v>0</v>
      </c>
      <c r="G44" s="154">
        <v>16300000</v>
      </c>
      <c r="H44" s="154">
        <v>7471750</v>
      </c>
      <c r="I44" s="154">
        <v>0</v>
      </c>
      <c r="J44" s="154">
        <v>386721</v>
      </c>
      <c r="K44" s="154">
        <v>386721</v>
      </c>
      <c r="L44" s="154">
        <v>7858471</v>
      </c>
      <c r="M44" s="154">
        <v>8441529</v>
      </c>
      <c r="N44" s="154">
        <v>0</v>
      </c>
      <c r="O44" s="154">
        <v>0</v>
      </c>
      <c r="P44" s="154">
        <v>8441529</v>
      </c>
      <c r="Q44" s="154">
        <v>0</v>
      </c>
      <c r="R44" s="154">
        <v>0</v>
      </c>
      <c r="S44" s="154">
        <v>0</v>
      </c>
      <c r="T44" s="154">
        <v>0</v>
      </c>
      <c r="U44" s="154">
        <v>0</v>
      </c>
      <c r="V44" s="154">
        <v>0</v>
      </c>
      <c r="W44" s="154">
        <v>0</v>
      </c>
      <c r="X44" s="154">
        <v>0</v>
      </c>
      <c r="Y44" s="154">
        <v>0</v>
      </c>
      <c r="Z44" s="154">
        <v>0</v>
      </c>
      <c r="AA44" s="154">
        <v>0</v>
      </c>
      <c r="AB44" s="259" t="s">
        <v>1291</v>
      </c>
      <c r="AC44" s="153">
        <v>810000</v>
      </c>
    </row>
    <row r="45" spans="1:35" ht="45" customHeight="1">
      <c r="A45" s="153">
        <f t="shared" si="0"/>
        <v>41</v>
      </c>
      <c r="B45" s="153">
        <v>2064</v>
      </c>
      <c r="C45" s="259" t="s">
        <v>224</v>
      </c>
      <c r="D45" s="154">
        <v>2283705</v>
      </c>
      <c r="E45" s="154">
        <v>6281000</v>
      </c>
      <c r="F45" s="154">
        <v>-3997295</v>
      </c>
      <c r="G45" s="154">
        <v>2283705</v>
      </c>
      <c r="H45" s="154">
        <v>873639</v>
      </c>
      <c r="I45" s="154">
        <v>0</v>
      </c>
      <c r="J45" s="154">
        <v>84085</v>
      </c>
      <c r="K45" s="154">
        <v>84085</v>
      </c>
      <c r="L45" s="154">
        <v>957724</v>
      </c>
      <c r="M45" s="154">
        <v>1325981</v>
      </c>
      <c r="N45" s="154">
        <v>0</v>
      </c>
      <c r="O45" s="154">
        <v>0</v>
      </c>
      <c r="P45" s="154">
        <v>1325981</v>
      </c>
      <c r="Q45" s="154">
        <v>0</v>
      </c>
      <c r="R45" s="154">
        <v>0</v>
      </c>
      <c r="S45" s="154">
        <v>0</v>
      </c>
      <c r="T45" s="154">
        <v>0</v>
      </c>
      <c r="U45" s="154">
        <v>0</v>
      </c>
      <c r="V45" s="154">
        <v>0</v>
      </c>
      <c r="W45" s="154">
        <v>0</v>
      </c>
      <c r="X45" s="154">
        <v>0</v>
      </c>
      <c r="Y45" s="154">
        <v>0</v>
      </c>
      <c r="Z45" s="154">
        <v>0</v>
      </c>
      <c r="AA45" s="154">
        <v>0</v>
      </c>
      <c r="AB45" s="259" t="s">
        <v>350</v>
      </c>
      <c r="AC45" s="153">
        <v>829000</v>
      </c>
    </row>
    <row r="46" spans="1:35" ht="45" customHeight="1">
      <c r="A46" s="153">
        <f t="shared" si="0"/>
        <v>42</v>
      </c>
      <c r="B46" s="153">
        <v>2073</v>
      </c>
      <c r="C46" s="259" t="s">
        <v>847</v>
      </c>
      <c r="D46" s="154">
        <v>11350000</v>
      </c>
      <c r="E46" s="154">
        <v>11350000</v>
      </c>
      <c r="F46" s="154">
        <v>0</v>
      </c>
      <c r="G46" s="154">
        <v>1600000</v>
      </c>
      <c r="H46" s="154">
        <v>60797</v>
      </c>
      <c r="I46" s="154">
        <v>0</v>
      </c>
      <c r="J46" s="154">
        <v>124020</v>
      </c>
      <c r="K46" s="154">
        <v>124020</v>
      </c>
      <c r="L46" s="154">
        <v>184817</v>
      </c>
      <c r="M46" s="154">
        <v>1415183</v>
      </c>
      <c r="N46" s="154">
        <v>0</v>
      </c>
      <c r="O46" s="154">
        <v>9750000</v>
      </c>
      <c r="P46" s="154">
        <v>1415183</v>
      </c>
      <c r="Q46" s="154">
        <v>0</v>
      </c>
      <c r="R46" s="154">
        <v>0</v>
      </c>
      <c r="S46" s="154">
        <v>0</v>
      </c>
      <c r="T46" s="154">
        <v>0</v>
      </c>
      <c r="U46" s="154">
        <v>0</v>
      </c>
      <c r="V46" s="154">
        <v>0</v>
      </c>
      <c r="W46" s="154">
        <v>0</v>
      </c>
      <c r="X46" s="154">
        <v>0</v>
      </c>
      <c r="Y46" s="154">
        <v>0</v>
      </c>
      <c r="Z46" s="154">
        <v>0</v>
      </c>
      <c r="AA46" s="154">
        <v>0</v>
      </c>
      <c r="AB46" s="259" t="s">
        <v>1397</v>
      </c>
      <c r="AC46" s="153">
        <v>829000</v>
      </c>
    </row>
    <row r="47" spans="1:35" ht="45" customHeight="1">
      <c r="A47" s="153">
        <f t="shared" si="0"/>
        <v>43</v>
      </c>
      <c r="B47" s="153">
        <v>2076</v>
      </c>
      <c r="C47" s="259" t="s">
        <v>276</v>
      </c>
      <c r="D47" s="154">
        <v>2350000</v>
      </c>
      <c r="E47" s="154">
        <v>2350000</v>
      </c>
      <c r="F47" s="154">
        <v>0</v>
      </c>
      <c r="G47" s="154">
        <v>1450000</v>
      </c>
      <c r="H47" s="154">
        <v>52664</v>
      </c>
      <c r="I47" s="154">
        <v>0</v>
      </c>
      <c r="J47" s="154">
        <v>107004</v>
      </c>
      <c r="K47" s="154">
        <v>107004</v>
      </c>
      <c r="L47" s="154">
        <v>159668</v>
      </c>
      <c r="M47" s="154">
        <v>1290332</v>
      </c>
      <c r="N47" s="154">
        <v>900000</v>
      </c>
      <c r="O47" s="154">
        <v>0</v>
      </c>
      <c r="P47" s="154">
        <v>1290332</v>
      </c>
      <c r="Q47" s="154">
        <v>0</v>
      </c>
      <c r="R47" s="154">
        <v>0</v>
      </c>
      <c r="S47" s="154">
        <v>0</v>
      </c>
      <c r="T47" s="154">
        <v>0</v>
      </c>
      <c r="U47" s="154">
        <v>900000</v>
      </c>
      <c r="V47" s="154">
        <v>900000</v>
      </c>
      <c r="W47" s="154">
        <v>0</v>
      </c>
      <c r="X47" s="154">
        <v>0</v>
      </c>
      <c r="Y47" s="154">
        <v>0</v>
      </c>
      <c r="Z47" s="154">
        <v>0</v>
      </c>
      <c r="AA47" s="154">
        <v>0</v>
      </c>
      <c r="AB47" s="259" t="s">
        <v>316</v>
      </c>
      <c r="AC47" s="153">
        <v>850000</v>
      </c>
    </row>
    <row r="48" spans="1:35" s="5" customFormat="1" ht="45" customHeight="1">
      <c r="A48" s="153">
        <f t="shared" si="0"/>
        <v>44</v>
      </c>
      <c r="B48" s="153">
        <v>2078</v>
      </c>
      <c r="C48" s="259" t="s">
        <v>262</v>
      </c>
      <c r="D48" s="154">
        <v>2460000</v>
      </c>
      <c r="E48" s="154">
        <v>4200000</v>
      </c>
      <c r="F48" s="154">
        <v>-1740000</v>
      </c>
      <c r="G48" s="154">
        <v>1960000</v>
      </c>
      <c r="H48" s="154">
        <v>184645</v>
      </c>
      <c r="I48" s="154">
        <v>0</v>
      </c>
      <c r="J48" s="154">
        <v>103805</v>
      </c>
      <c r="K48" s="154">
        <v>103805</v>
      </c>
      <c r="L48" s="154">
        <v>288450</v>
      </c>
      <c r="M48" s="154">
        <v>1671550</v>
      </c>
      <c r="N48" s="154">
        <v>500000</v>
      </c>
      <c r="O48" s="154">
        <v>0</v>
      </c>
      <c r="P48" s="154">
        <v>1671550</v>
      </c>
      <c r="Q48" s="154">
        <v>0</v>
      </c>
      <c r="R48" s="154">
        <v>0</v>
      </c>
      <c r="S48" s="154">
        <v>0</v>
      </c>
      <c r="T48" s="154">
        <v>0</v>
      </c>
      <c r="U48" s="154">
        <v>500000</v>
      </c>
      <c r="V48" s="154">
        <v>500000</v>
      </c>
      <c r="W48" s="154">
        <v>0</v>
      </c>
      <c r="X48" s="154">
        <v>0</v>
      </c>
      <c r="Y48" s="154">
        <v>0</v>
      </c>
      <c r="Z48" s="154">
        <v>0</v>
      </c>
      <c r="AA48" s="154">
        <v>0</v>
      </c>
      <c r="AB48" s="259" t="s">
        <v>348</v>
      </c>
      <c r="AC48" s="3">
        <v>742000</v>
      </c>
      <c r="AD48" s="157"/>
      <c r="AE48" s="157"/>
      <c r="AF48" s="157"/>
      <c r="AG48" s="157"/>
      <c r="AH48" s="157"/>
      <c r="AI48" s="157"/>
    </row>
    <row r="49" spans="1:35" ht="45" customHeight="1">
      <c r="A49" s="153">
        <f t="shared" si="0"/>
        <v>45</v>
      </c>
      <c r="B49" s="153">
        <v>2079</v>
      </c>
      <c r="C49" s="259" t="s">
        <v>277</v>
      </c>
      <c r="D49" s="154">
        <v>3100000</v>
      </c>
      <c r="E49" s="154">
        <v>3100000</v>
      </c>
      <c r="F49" s="154">
        <v>0</v>
      </c>
      <c r="G49" s="154">
        <v>3100000</v>
      </c>
      <c r="H49" s="154">
        <v>3060457</v>
      </c>
      <c r="I49" s="154">
        <v>0</v>
      </c>
      <c r="J49" s="154">
        <v>25792</v>
      </c>
      <c r="K49" s="154">
        <v>25792</v>
      </c>
      <c r="L49" s="154">
        <v>3086249</v>
      </c>
      <c r="M49" s="154">
        <v>13751</v>
      </c>
      <c r="N49" s="154">
        <v>0</v>
      </c>
      <c r="O49" s="154">
        <v>0</v>
      </c>
      <c r="P49" s="154">
        <v>13751</v>
      </c>
      <c r="Q49" s="154">
        <v>0</v>
      </c>
      <c r="R49" s="154">
        <v>0</v>
      </c>
      <c r="S49" s="154">
        <v>0</v>
      </c>
      <c r="T49" s="154">
        <v>0</v>
      </c>
      <c r="U49" s="154">
        <v>0</v>
      </c>
      <c r="V49" s="154">
        <v>0</v>
      </c>
      <c r="W49" s="154">
        <v>0</v>
      </c>
      <c r="X49" s="154">
        <v>0</v>
      </c>
      <c r="Y49" s="154">
        <v>0</v>
      </c>
      <c r="Z49" s="154">
        <v>0</v>
      </c>
      <c r="AA49" s="154">
        <v>0</v>
      </c>
      <c r="AB49" s="259" t="s">
        <v>1292</v>
      </c>
      <c r="AC49" s="153">
        <v>840000</v>
      </c>
    </row>
    <row r="50" spans="1:35" ht="55.2">
      <c r="A50" s="153">
        <f t="shared" si="0"/>
        <v>46</v>
      </c>
      <c r="B50" s="153">
        <v>2097</v>
      </c>
      <c r="C50" s="259" t="s">
        <v>278</v>
      </c>
      <c r="D50" s="154">
        <v>79000000</v>
      </c>
      <c r="E50" s="154">
        <v>79000000</v>
      </c>
      <c r="F50" s="154">
        <v>0</v>
      </c>
      <c r="G50" s="154">
        <v>24119617</v>
      </c>
      <c r="H50" s="154">
        <v>2556093</v>
      </c>
      <c r="I50" s="154">
        <v>0</v>
      </c>
      <c r="J50" s="154">
        <v>2102476</v>
      </c>
      <c r="K50" s="154">
        <v>2102476</v>
      </c>
      <c r="L50" s="154">
        <v>4658569</v>
      </c>
      <c r="M50" s="154">
        <v>19461048</v>
      </c>
      <c r="N50" s="154">
        <v>17000000</v>
      </c>
      <c r="O50" s="154">
        <v>37880383</v>
      </c>
      <c r="P50" s="154">
        <v>19461048</v>
      </c>
      <c r="Q50" s="154">
        <v>0</v>
      </c>
      <c r="R50" s="154">
        <v>0</v>
      </c>
      <c r="S50" s="154">
        <v>0</v>
      </c>
      <c r="T50" s="154">
        <v>0</v>
      </c>
      <c r="U50" s="154">
        <v>17000000</v>
      </c>
      <c r="V50" s="154">
        <v>14147298</v>
      </c>
      <c r="W50" s="154">
        <v>0</v>
      </c>
      <c r="X50" s="154">
        <v>0</v>
      </c>
      <c r="Y50" s="154">
        <v>0</v>
      </c>
      <c r="Z50" s="154">
        <v>0</v>
      </c>
      <c r="AA50" s="154">
        <v>2852702</v>
      </c>
      <c r="AB50" s="259" t="s">
        <v>1472</v>
      </c>
      <c r="AC50" s="153">
        <v>810000</v>
      </c>
    </row>
    <row r="51" spans="1:35" ht="45" customHeight="1">
      <c r="A51" s="153">
        <f t="shared" si="0"/>
        <v>47</v>
      </c>
      <c r="B51" s="153">
        <v>2099</v>
      </c>
      <c r="C51" s="259" t="s">
        <v>279</v>
      </c>
      <c r="D51" s="154">
        <v>17650000</v>
      </c>
      <c r="E51" s="154">
        <v>12000000</v>
      </c>
      <c r="F51" s="154">
        <v>5650000</v>
      </c>
      <c r="G51" s="154">
        <v>6250000</v>
      </c>
      <c r="H51" s="154">
        <v>789900</v>
      </c>
      <c r="I51" s="154">
        <v>0</v>
      </c>
      <c r="J51" s="154">
        <v>461045</v>
      </c>
      <c r="K51" s="154">
        <v>461045</v>
      </c>
      <c r="L51" s="154">
        <v>1250945</v>
      </c>
      <c r="M51" s="154">
        <v>9749055</v>
      </c>
      <c r="N51" s="154">
        <v>5500000</v>
      </c>
      <c r="O51" s="154">
        <v>1150000</v>
      </c>
      <c r="P51" s="154">
        <v>4999055</v>
      </c>
      <c r="Q51" s="154">
        <v>4750000</v>
      </c>
      <c r="R51" s="154">
        <v>0</v>
      </c>
      <c r="S51" s="154">
        <v>4750000</v>
      </c>
      <c r="T51" s="154">
        <v>0</v>
      </c>
      <c r="U51" s="154">
        <v>5500000</v>
      </c>
      <c r="V51" s="154">
        <v>5500000</v>
      </c>
      <c r="W51" s="154">
        <v>0</v>
      </c>
      <c r="X51" s="154">
        <v>0</v>
      </c>
      <c r="Y51" s="154">
        <v>0</v>
      </c>
      <c r="Z51" s="154">
        <v>0</v>
      </c>
      <c r="AA51" s="154">
        <v>0</v>
      </c>
      <c r="AB51" s="259" t="s">
        <v>651</v>
      </c>
      <c r="AC51" s="153">
        <v>826000</v>
      </c>
    </row>
    <row r="52" spans="1:35" ht="45" customHeight="1">
      <c r="A52" s="153">
        <f t="shared" si="0"/>
        <v>48</v>
      </c>
      <c r="B52" s="153">
        <v>2101</v>
      </c>
      <c r="C52" s="259" t="s">
        <v>637</v>
      </c>
      <c r="D52" s="154">
        <v>24200000</v>
      </c>
      <c r="E52" s="154">
        <v>24200000</v>
      </c>
      <c r="F52" s="154">
        <v>0</v>
      </c>
      <c r="G52" s="154">
        <v>1500000</v>
      </c>
      <c r="H52" s="154">
        <v>389319</v>
      </c>
      <c r="I52" s="154">
        <v>0</v>
      </c>
      <c r="J52" s="154">
        <v>121642</v>
      </c>
      <c r="K52" s="154">
        <v>121642</v>
      </c>
      <c r="L52" s="154">
        <v>510961</v>
      </c>
      <c r="M52" s="154">
        <v>989039</v>
      </c>
      <c r="N52" s="154">
        <v>6000000</v>
      </c>
      <c r="O52" s="154">
        <v>16700000</v>
      </c>
      <c r="P52" s="154">
        <v>989039</v>
      </c>
      <c r="Q52" s="154">
        <v>0</v>
      </c>
      <c r="R52" s="154">
        <v>0</v>
      </c>
      <c r="S52" s="154">
        <v>0</v>
      </c>
      <c r="T52" s="154">
        <v>0</v>
      </c>
      <c r="U52" s="154">
        <v>6000000</v>
      </c>
      <c r="V52" s="154">
        <v>2300000</v>
      </c>
      <c r="W52" s="154">
        <v>0</v>
      </c>
      <c r="X52" s="154">
        <v>0</v>
      </c>
      <c r="Y52" s="154">
        <v>0</v>
      </c>
      <c r="Z52" s="154">
        <v>0</v>
      </c>
      <c r="AA52" s="154">
        <v>3700000</v>
      </c>
      <c r="AB52" s="259" t="s">
        <v>1293</v>
      </c>
      <c r="AC52" s="153">
        <v>840000</v>
      </c>
    </row>
    <row r="53" spans="1:35" ht="45" customHeight="1">
      <c r="A53" s="153">
        <f t="shared" si="0"/>
        <v>49</v>
      </c>
      <c r="B53" s="153">
        <v>2103</v>
      </c>
      <c r="C53" s="259" t="s">
        <v>315</v>
      </c>
      <c r="D53" s="154">
        <v>4200000</v>
      </c>
      <c r="E53" s="154">
        <v>4200000</v>
      </c>
      <c r="F53" s="154">
        <v>0</v>
      </c>
      <c r="G53" s="154">
        <v>1000000</v>
      </c>
      <c r="H53" s="154">
        <v>369063</v>
      </c>
      <c r="I53" s="154">
        <v>0</v>
      </c>
      <c r="J53" s="154">
        <v>481501</v>
      </c>
      <c r="K53" s="154">
        <v>481501</v>
      </c>
      <c r="L53" s="154">
        <v>850564</v>
      </c>
      <c r="M53" s="154">
        <v>149436</v>
      </c>
      <c r="N53" s="154">
        <v>700000</v>
      </c>
      <c r="O53" s="154">
        <v>2500000</v>
      </c>
      <c r="P53" s="154">
        <v>149436</v>
      </c>
      <c r="Q53" s="154">
        <v>0</v>
      </c>
      <c r="R53" s="154">
        <v>0</v>
      </c>
      <c r="S53" s="154">
        <v>0</v>
      </c>
      <c r="T53" s="154">
        <v>0</v>
      </c>
      <c r="U53" s="154">
        <v>700000</v>
      </c>
      <c r="V53" s="154">
        <v>700000</v>
      </c>
      <c r="W53" s="154">
        <v>0</v>
      </c>
      <c r="X53" s="154">
        <v>0</v>
      </c>
      <c r="Y53" s="154">
        <v>0</v>
      </c>
      <c r="Z53" s="154">
        <v>0</v>
      </c>
      <c r="AA53" s="154">
        <v>0</v>
      </c>
      <c r="AB53" s="259" t="s">
        <v>742</v>
      </c>
      <c r="AC53" s="153">
        <v>848000</v>
      </c>
    </row>
    <row r="54" spans="1:35" s="6" customFormat="1" ht="45" customHeight="1">
      <c r="A54" s="153">
        <f t="shared" si="0"/>
        <v>50</v>
      </c>
      <c r="B54" s="153">
        <v>2106</v>
      </c>
      <c r="C54" s="259" t="s">
        <v>390</v>
      </c>
      <c r="D54" s="154">
        <v>15000000</v>
      </c>
      <c r="E54" s="154">
        <v>15000000</v>
      </c>
      <c r="F54" s="154">
        <v>0</v>
      </c>
      <c r="G54" s="154">
        <v>4000000</v>
      </c>
      <c r="H54" s="154">
        <v>353313</v>
      </c>
      <c r="I54" s="154">
        <v>0</v>
      </c>
      <c r="J54" s="154">
        <v>416787</v>
      </c>
      <c r="K54" s="154">
        <v>416787</v>
      </c>
      <c r="L54" s="154">
        <v>770100</v>
      </c>
      <c r="M54" s="154">
        <v>3229900</v>
      </c>
      <c r="N54" s="154">
        <v>500000</v>
      </c>
      <c r="O54" s="154">
        <v>10500000</v>
      </c>
      <c r="P54" s="154">
        <v>3229900</v>
      </c>
      <c r="Q54" s="154">
        <v>0</v>
      </c>
      <c r="R54" s="154">
        <v>0</v>
      </c>
      <c r="S54" s="154">
        <v>0</v>
      </c>
      <c r="T54" s="154">
        <v>0</v>
      </c>
      <c r="U54" s="154">
        <v>500000</v>
      </c>
      <c r="V54" s="154">
        <v>500000</v>
      </c>
      <c r="W54" s="154">
        <v>0</v>
      </c>
      <c r="X54" s="154">
        <v>0</v>
      </c>
      <c r="Y54" s="154">
        <v>0</v>
      </c>
      <c r="Z54" s="154">
        <v>0</v>
      </c>
      <c r="AA54" s="154">
        <v>0</v>
      </c>
      <c r="AB54" s="259" t="s">
        <v>602</v>
      </c>
      <c r="AC54" s="3">
        <v>742000</v>
      </c>
      <c r="AD54" s="157"/>
      <c r="AE54" s="157"/>
      <c r="AF54" s="157"/>
      <c r="AG54" s="157"/>
      <c r="AH54" s="157"/>
      <c r="AI54" s="157"/>
    </row>
    <row r="55" spans="1:35" s="5" customFormat="1" ht="45" customHeight="1">
      <c r="A55" s="153">
        <f t="shared" si="0"/>
        <v>51</v>
      </c>
      <c r="B55" s="153">
        <v>2109</v>
      </c>
      <c r="C55" s="259" t="s">
        <v>263</v>
      </c>
      <c r="D55" s="154">
        <v>2000000</v>
      </c>
      <c r="E55" s="154">
        <v>2000000</v>
      </c>
      <c r="F55" s="154">
        <v>0</v>
      </c>
      <c r="G55" s="154">
        <v>500000</v>
      </c>
      <c r="H55" s="154">
        <v>128792</v>
      </c>
      <c r="I55" s="154">
        <v>0</v>
      </c>
      <c r="J55" s="154">
        <v>119250</v>
      </c>
      <c r="K55" s="154">
        <v>119250</v>
      </c>
      <c r="L55" s="154">
        <v>248042</v>
      </c>
      <c r="M55" s="154">
        <v>601958</v>
      </c>
      <c r="N55" s="154">
        <v>0</v>
      </c>
      <c r="O55" s="154">
        <v>1150000</v>
      </c>
      <c r="P55" s="154">
        <v>251958</v>
      </c>
      <c r="Q55" s="154">
        <v>350000</v>
      </c>
      <c r="R55" s="154">
        <v>0</v>
      </c>
      <c r="S55" s="154">
        <v>350000</v>
      </c>
      <c r="T55" s="154">
        <v>0</v>
      </c>
      <c r="U55" s="154">
        <v>0</v>
      </c>
      <c r="V55" s="154">
        <v>0</v>
      </c>
      <c r="W55" s="154">
        <v>0</v>
      </c>
      <c r="X55" s="154">
        <v>0</v>
      </c>
      <c r="Y55" s="154">
        <v>0</v>
      </c>
      <c r="Z55" s="154">
        <v>0</v>
      </c>
      <c r="AA55" s="154">
        <v>0</v>
      </c>
      <c r="AB55" s="259" t="s">
        <v>1473</v>
      </c>
      <c r="AC55" s="3">
        <v>742000</v>
      </c>
      <c r="AD55" s="157"/>
      <c r="AE55" s="157"/>
      <c r="AF55" s="157"/>
      <c r="AG55" s="157"/>
      <c r="AH55" s="157"/>
      <c r="AI55" s="157"/>
    </row>
    <row r="56" spans="1:35" s="5" customFormat="1" ht="45" customHeight="1">
      <c r="A56" s="153">
        <f t="shared" si="0"/>
        <v>52</v>
      </c>
      <c r="B56" s="153">
        <v>2110</v>
      </c>
      <c r="C56" s="259" t="s">
        <v>264</v>
      </c>
      <c r="D56" s="154">
        <v>16000000</v>
      </c>
      <c r="E56" s="154">
        <v>16000000</v>
      </c>
      <c r="F56" s="154">
        <v>0</v>
      </c>
      <c r="G56" s="154">
        <v>200000</v>
      </c>
      <c r="H56" s="154">
        <v>0</v>
      </c>
      <c r="I56" s="154">
        <v>0</v>
      </c>
      <c r="J56" s="154">
        <v>0</v>
      </c>
      <c r="K56" s="154">
        <v>0</v>
      </c>
      <c r="L56" s="154">
        <v>0</v>
      </c>
      <c r="M56" s="154">
        <v>50000</v>
      </c>
      <c r="N56" s="154">
        <v>0</v>
      </c>
      <c r="O56" s="154">
        <v>15950000</v>
      </c>
      <c r="P56" s="154">
        <v>200000</v>
      </c>
      <c r="Q56" s="154">
        <v>0</v>
      </c>
      <c r="R56" s="154">
        <v>0</v>
      </c>
      <c r="S56" s="154">
        <v>0</v>
      </c>
      <c r="T56" s="154">
        <v>150000</v>
      </c>
      <c r="U56" s="154">
        <v>-150000</v>
      </c>
      <c r="V56" s="154">
        <v>-150000</v>
      </c>
      <c r="W56" s="154">
        <v>0</v>
      </c>
      <c r="X56" s="154">
        <v>0</v>
      </c>
      <c r="Y56" s="154">
        <v>0</v>
      </c>
      <c r="Z56" s="154">
        <v>0</v>
      </c>
      <c r="AA56" s="154">
        <v>0</v>
      </c>
      <c r="AB56" s="259" t="s">
        <v>652</v>
      </c>
      <c r="AC56" s="3">
        <v>742000</v>
      </c>
      <c r="AD56" s="157"/>
      <c r="AE56" s="157"/>
      <c r="AF56" s="157"/>
      <c r="AG56" s="157"/>
      <c r="AH56" s="157"/>
      <c r="AI56" s="157"/>
    </row>
    <row r="57" spans="1:35" s="5" customFormat="1" ht="45" customHeight="1">
      <c r="A57" s="153">
        <f t="shared" si="0"/>
        <v>53</v>
      </c>
      <c r="B57" s="153">
        <v>2111</v>
      </c>
      <c r="C57" s="259" t="s">
        <v>265</v>
      </c>
      <c r="D57" s="154">
        <v>15200000</v>
      </c>
      <c r="E57" s="154">
        <v>15200000</v>
      </c>
      <c r="F57" s="154">
        <v>0</v>
      </c>
      <c r="G57" s="154">
        <v>200000</v>
      </c>
      <c r="H57" s="154">
        <v>0</v>
      </c>
      <c r="I57" s="154">
        <v>0</v>
      </c>
      <c r="J57" s="154">
        <v>0</v>
      </c>
      <c r="K57" s="154">
        <v>0</v>
      </c>
      <c r="L57" s="154">
        <v>0</v>
      </c>
      <c r="M57" s="154">
        <v>100000</v>
      </c>
      <c r="N57" s="154">
        <v>0</v>
      </c>
      <c r="O57" s="154">
        <v>15100000</v>
      </c>
      <c r="P57" s="154">
        <v>200000</v>
      </c>
      <c r="Q57" s="154">
        <v>0</v>
      </c>
      <c r="R57" s="154">
        <v>0</v>
      </c>
      <c r="S57" s="154">
        <v>0</v>
      </c>
      <c r="T57" s="154">
        <v>100000</v>
      </c>
      <c r="U57" s="154">
        <v>-100000</v>
      </c>
      <c r="V57" s="154">
        <v>-100000</v>
      </c>
      <c r="W57" s="154">
        <v>0</v>
      </c>
      <c r="X57" s="154">
        <v>0</v>
      </c>
      <c r="Y57" s="154">
        <v>0</v>
      </c>
      <c r="Z57" s="154">
        <v>0</v>
      </c>
      <c r="AA57" s="154">
        <v>0</v>
      </c>
      <c r="AB57" s="259" t="s">
        <v>603</v>
      </c>
      <c r="AC57" s="3">
        <v>742000</v>
      </c>
      <c r="AD57" s="157"/>
      <c r="AE57" s="157"/>
      <c r="AF57" s="157"/>
      <c r="AG57" s="157"/>
      <c r="AH57" s="157"/>
      <c r="AI57" s="157"/>
    </row>
    <row r="58" spans="1:35" s="6" customFormat="1" ht="45" customHeight="1">
      <c r="A58" s="153">
        <f t="shared" si="0"/>
        <v>54</v>
      </c>
      <c r="B58" s="153">
        <v>2115</v>
      </c>
      <c r="C58" s="259" t="s">
        <v>267</v>
      </c>
      <c r="D58" s="154">
        <v>3100000</v>
      </c>
      <c r="E58" s="154">
        <v>3100000</v>
      </c>
      <c r="F58" s="154">
        <v>0</v>
      </c>
      <c r="G58" s="154">
        <v>3100000</v>
      </c>
      <c r="H58" s="154">
        <v>1758075</v>
      </c>
      <c r="I58" s="154">
        <v>0</v>
      </c>
      <c r="J58" s="154">
        <v>4000</v>
      </c>
      <c r="K58" s="154">
        <v>4000</v>
      </c>
      <c r="L58" s="154">
        <v>1762075</v>
      </c>
      <c r="M58" s="154">
        <v>537925</v>
      </c>
      <c r="N58" s="154">
        <v>0</v>
      </c>
      <c r="O58" s="154">
        <v>800000</v>
      </c>
      <c r="P58" s="154">
        <v>1337925</v>
      </c>
      <c r="Q58" s="154">
        <v>0</v>
      </c>
      <c r="R58" s="154">
        <v>0</v>
      </c>
      <c r="S58" s="154">
        <v>0</v>
      </c>
      <c r="T58" s="154">
        <v>800000</v>
      </c>
      <c r="U58" s="154">
        <v>-800000</v>
      </c>
      <c r="V58" s="154">
        <v>-800000</v>
      </c>
      <c r="W58" s="154">
        <v>0</v>
      </c>
      <c r="X58" s="154">
        <v>0</v>
      </c>
      <c r="Y58" s="154">
        <v>0</v>
      </c>
      <c r="Z58" s="154">
        <v>0</v>
      </c>
      <c r="AA58" s="154">
        <v>0</v>
      </c>
      <c r="AB58" s="259" t="s">
        <v>1474</v>
      </c>
      <c r="AC58" s="3">
        <v>732000</v>
      </c>
      <c r="AD58" s="157"/>
      <c r="AE58" s="157"/>
      <c r="AF58" s="157"/>
      <c r="AG58" s="157"/>
      <c r="AH58" s="157"/>
      <c r="AI58" s="157"/>
    </row>
    <row r="59" spans="1:35" s="6" customFormat="1" ht="45" customHeight="1">
      <c r="A59" s="153">
        <f t="shared" si="0"/>
        <v>55</v>
      </c>
      <c r="B59" s="153">
        <v>2118</v>
      </c>
      <c r="C59" s="259" t="s">
        <v>268</v>
      </c>
      <c r="D59" s="154">
        <v>2600000</v>
      </c>
      <c r="E59" s="154">
        <v>2600000</v>
      </c>
      <c r="F59" s="154">
        <v>0</v>
      </c>
      <c r="G59" s="154">
        <v>2600000</v>
      </c>
      <c r="H59" s="154">
        <v>2049405</v>
      </c>
      <c r="I59" s="154">
        <v>0</v>
      </c>
      <c r="J59" s="154">
        <v>96981</v>
      </c>
      <c r="K59" s="154">
        <v>96981</v>
      </c>
      <c r="L59" s="154">
        <v>2146386</v>
      </c>
      <c r="M59" s="154">
        <v>453614</v>
      </c>
      <c r="N59" s="154">
        <v>0</v>
      </c>
      <c r="O59" s="154">
        <v>0</v>
      </c>
      <c r="P59" s="154">
        <v>453614</v>
      </c>
      <c r="Q59" s="154">
        <v>0</v>
      </c>
      <c r="R59" s="154">
        <v>0</v>
      </c>
      <c r="S59" s="154">
        <v>0</v>
      </c>
      <c r="T59" s="154">
        <v>0</v>
      </c>
      <c r="U59" s="154">
        <v>0</v>
      </c>
      <c r="V59" s="154">
        <v>0</v>
      </c>
      <c r="W59" s="154">
        <v>0</v>
      </c>
      <c r="X59" s="154">
        <v>0</v>
      </c>
      <c r="Y59" s="154">
        <v>0</v>
      </c>
      <c r="Z59" s="154">
        <v>0</v>
      </c>
      <c r="AA59" s="154">
        <v>0</v>
      </c>
      <c r="AB59" s="259" t="s">
        <v>539</v>
      </c>
      <c r="AC59" s="3">
        <v>746000</v>
      </c>
      <c r="AD59" s="157"/>
      <c r="AE59" s="157"/>
      <c r="AF59" s="157"/>
      <c r="AG59" s="157"/>
      <c r="AH59" s="157"/>
      <c r="AI59" s="157"/>
    </row>
    <row r="60" spans="1:35" s="5" customFormat="1" ht="45" customHeight="1">
      <c r="A60" s="153">
        <f t="shared" si="0"/>
        <v>56</v>
      </c>
      <c r="B60" s="153">
        <v>2119</v>
      </c>
      <c r="C60" s="259" t="s">
        <v>269</v>
      </c>
      <c r="D60" s="154">
        <v>3900000</v>
      </c>
      <c r="E60" s="154">
        <v>3900000</v>
      </c>
      <c r="F60" s="154">
        <v>0</v>
      </c>
      <c r="G60" s="154">
        <v>1100000</v>
      </c>
      <c r="H60" s="154">
        <v>194788</v>
      </c>
      <c r="I60" s="154">
        <v>0</v>
      </c>
      <c r="J60" s="154">
        <v>71106</v>
      </c>
      <c r="K60" s="154">
        <v>71106</v>
      </c>
      <c r="L60" s="154">
        <v>265894</v>
      </c>
      <c r="M60" s="154">
        <v>3634106</v>
      </c>
      <c r="N60" s="154">
        <v>0</v>
      </c>
      <c r="O60" s="154">
        <v>0</v>
      </c>
      <c r="P60" s="154">
        <v>834106</v>
      </c>
      <c r="Q60" s="154">
        <v>0</v>
      </c>
      <c r="R60" s="154">
        <v>2800000</v>
      </c>
      <c r="S60" s="154">
        <v>2800000</v>
      </c>
      <c r="T60" s="154">
        <v>0</v>
      </c>
      <c r="U60" s="154">
        <v>0</v>
      </c>
      <c r="V60" s="154">
        <v>0</v>
      </c>
      <c r="W60" s="154">
        <v>0</v>
      </c>
      <c r="X60" s="154">
        <v>0</v>
      </c>
      <c r="Y60" s="154">
        <v>0</v>
      </c>
      <c r="Z60" s="154">
        <v>0</v>
      </c>
      <c r="AA60" s="154">
        <v>0</v>
      </c>
      <c r="AB60" s="259" t="s">
        <v>270</v>
      </c>
      <c r="AC60" s="3">
        <v>742000</v>
      </c>
      <c r="AD60" s="157"/>
      <c r="AE60" s="157"/>
      <c r="AF60" s="157"/>
      <c r="AG60" s="157"/>
      <c r="AH60" s="157"/>
      <c r="AI60" s="157"/>
    </row>
    <row r="61" spans="1:35" s="5" customFormat="1" ht="45" customHeight="1">
      <c r="A61" s="153">
        <f t="shared" si="0"/>
        <v>57</v>
      </c>
      <c r="B61" s="153">
        <v>2126</v>
      </c>
      <c r="C61" s="259" t="s">
        <v>405</v>
      </c>
      <c r="D61" s="154">
        <v>1975000</v>
      </c>
      <c r="E61" s="154">
        <v>1975000</v>
      </c>
      <c r="F61" s="154">
        <v>0</v>
      </c>
      <c r="G61" s="154">
        <v>0</v>
      </c>
      <c r="H61" s="154">
        <v>0</v>
      </c>
      <c r="I61" s="154">
        <v>0</v>
      </c>
      <c r="J61" s="154">
        <v>0</v>
      </c>
      <c r="K61" s="154">
        <v>0</v>
      </c>
      <c r="L61" s="154">
        <v>0</v>
      </c>
      <c r="M61" s="154">
        <v>0</v>
      </c>
      <c r="N61" s="154">
        <v>0</v>
      </c>
      <c r="O61" s="154">
        <v>1975000</v>
      </c>
      <c r="P61" s="154">
        <v>0</v>
      </c>
      <c r="Q61" s="154">
        <v>0</v>
      </c>
      <c r="R61" s="154">
        <v>0</v>
      </c>
      <c r="S61" s="154">
        <v>0</v>
      </c>
      <c r="T61" s="154">
        <v>0</v>
      </c>
      <c r="U61" s="154">
        <v>0</v>
      </c>
      <c r="V61" s="154">
        <v>0</v>
      </c>
      <c r="W61" s="154">
        <v>0</v>
      </c>
      <c r="X61" s="154">
        <v>0</v>
      </c>
      <c r="Y61" s="154">
        <v>0</v>
      </c>
      <c r="Z61" s="154">
        <v>0</v>
      </c>
      <c r="AA61" s="154">
        <v>0</v>
      </c>
      <c r="AB61" s="259" t="s">
        <v>604</v>
      </c>
      <c r="AC61" s="3">
        <v>742000</v>
      </c>
      <c r="AD61" s="157"/>
      <c r="AE61" s="157"/>
      <c r="AF61" s="157"/>
      <c r="AG61" s="157"/>
      <c r="AH61" s="157"/>
      <c r="AI61" s="157"/>
    </row>
    <row r="62" spans="1:35" s="6" customFormat="1" ht="45" customHeight="1">
      <c r="A62" s="153">
        <f t="shared" si="0"/>
        <v>58</v>
      </c>
      <c r="B62" s="153">
        <v>2127</v>
      </c>
      <c r="C62" s="259" t="s">
        <v>406</v>
      </c>
      <c r="D62" s="154">
        <v>2259000</v>
      </c>
      <c r="E62" s="154">
        <v>2259000</v>
      </c>
      <c r="F62" s="154">
        <v>0</v>
      </c>
      <c r="G62" s="154">
        <v>1000000</v>
      </c>
      <c r="H62" s="154">
        <v>358899</v>
      </c>
      <c r="I62" s="154">
        <v>0</v>
      </c>
      <c r="J62" s="154">
        <v>641099</v>
      </c>
      <c r="K62" s="154">
        <v>641099</v>
      </c>
      <c r="L62" s="154">
        <v>999998</v>
      </c>
      <c r="M62" s="154">
        <v>2</v>
      </c>
      <c r="N62" s="154">
        <v>1259000</v>
      </c>
      <c r="O62" s="154">
        <v>0</v>
      </c>
      <c r="P62" s="154">
        <v>2</v>
      </c>
      <c r="Q62" s="154">
        <v>0</v>
      </c>
      <c r="R62" s="154">
        <v>0</v>
      </c>
      <c r="S62" s="154">
        <v>0</v>
      </c>
      <c r="T62" s="154">
        <v>0</v>
      </c>
      <c r="U62" s="154">
        <v>1259000</v>
      </c>
      <c r="V62" s="154">
        <v>0</v>
      </c>
      <c r="W62" s="154">
        <v>0</v>
      </c>
      <c r="X62" s="154">
        <v>0</v>
      </c>
      <c r="Y62" s="154">
        <v>0</v>
      </c>
      <c r="Z62" s="154">
        <v>0</v>
      </c>
      <c r="AA62" s="154">
        <v>1259000</v>
      </c>
      <c r="AB62" s="259" t="s">
        <v>1294</v>
      </c>
      <c r="AC62" s="3">
        <v>747000</v>
      </c>
      <c r="AD62" s="157"/>
      <c r="AE62" s="157"/>
      <c r="AF62" s="157"/>
      <c r="AG62" s="157"/>
      <c r="AH62" s="157"/>
      <c r="AI62" s="157"/>
    </row>
    <row r="63" spans="1:35" s="6" customFormat="1" ht="45" customHeight="1">
      <c r="A63" s="153">
        <f t="shared" si="0"/>
        <v>59</v>
      </c>
      <c r="B63" s="153">
        <v>2130</v>
      </c>
      <c r="C63" s="259" t="s">
        <v>420</v>
      </c>
      <c r="D63" s="154">
        <v>500000</v>
      </c>
      <c r="E63" s="154">
        <v>500000</v>
      </c>
      <c r="F63" s="154">
        <v>0</v>
      </c>
      <c r="G63" s="154">
        <v>500000</v>
      </c>
      <c r="H63" s="154">
        <v>12501</v>
      </c>
      <c r="I63" s="154">
        <v>0</v>
      </c>
      <c r="J63" s="154">
        <v>118960</v>
      </c>
      <c r="K63" s="154">
        <v>118960</v>
      </c>
      <c r="L63" s="154">
        <v>131461</v>
      </c>
      <c r="M63" s="154">
        <v>368539</v>
      </c>
      <c r="N63" s="154">
        <v>0</v>
      </c>
      <c r="O63" s="154">
        <v>0</v>
      </c>
      <c r="P63" s="154">
        <v>368539</v>
      </c>
      <c r="Q63" s="154">
        <v>0</v>
      </c>
      <c r="R63" s="154">
        <v>0</v>
      </c>
      <c r="S63" s="154">
        <v>0</v>
      </c>
      <c r="T63" s="154">
        <v>0</v>
      </c>
      <c r="U63" s="154">
        <v>0</v>
      </c>
      <c r="V63" s="154">
        <v>0</v>
      </c>
      <c r="W63" s="154">
        <v>0</v>
      </c>
      <c r="X63" s="154">
        <v>0</v>
      </c>
      <c r="Y63" s="154">
        <v>0</v>
      </c>
      <c r="Z63" s="154">
        <v>0</v>
      </c>
      <c r="AA63" s="154">
        <v>0</v>
      </c>
      <c r="AB63" s="259" t="s">
        <v>624</v>
      </c>
      <c r="AC63" s="3">
        <v>810000</v>
      </c>
      <c r="AD63" s="157"/>
      <c r="AE63" s="157"/>
      <c r="AF63" s="157"/>
      <c r="AG63" s="157"/>
      <c r="AH63" s="157"/>
      <c r="AI63" s="157"/>
    </row>
    <row r="64" spans="1:35" s="5" customFormat="1" ht="45" customHeight="1">
      <c r="A64" s="153">
        <f t="shared" si="0"/>
        <v>60</v>
      </c>
      <c r="B64" s="153">
        <v>2149</v>
      </c>
      <c r="C64" s="259" t="s">
        <v>1357</v>
      </c>
      <c r="D64" s="154">
        <v>2000000</v>
      </c>
      <c r="E64" s="154">
        <v>2000000</v>
      </c>
      <c r="F64" s="154">
        <v>0</v>
      </c>
      <c r="G64" s="154">
        <v>2000000</v>
      </c>
      <c r="H64" s="154">
        <v>719068</v>
      </c>
      <c r="I64" s="154">
        <v>0</v>
      </c>
      <c r="J64" s="154">
        <v>69472</v>
      </c>
      <c r="K64" s="154">
        <v>69472</v>
      </c>
      <c r="L64" s="154">
        <v>788540</v>
      </c>
      <c r="M64" s="154">
        <v>411460</v>
      </c>
      <c r="N64" s="154">
        <v>500000</v>
      </c>
      <c r="O64" s="154">
        <v>300000</v>
      </c>
      <c r="P64" s="154">
        <v>1211460</v>
      </c>
      <c r="Q64" s="154">
        <v>0</v>
      </c>
      <c r="R64" s="154">
        <v>0</v>
      </c>
      <c r="S64" s="154">
        <v>0</v>
      </c>
      <c r="T64" s="154">
        <v>800000</v>
      </c>
      <c r="U64" s="154">
        <v>-300000</v>
      </c>
      <c r="V64" s="154">
        <v>-300000</v>
      </c>
      <c r="W64" s="154">
        <v>0</v>
      </c>
      <c r="X64" s="154">
        <v>0</v>
      </c>
      <c r="Y64" s="154">
        <v>0</v>
      </c>
      <c r="Z64" s="154">
        <v>0</v>
      </c>
      <c r="AA64" s="154">
        <v>0</v>
      </c>
      <c r="AB64" s="259" t="s">
        <v>861</v>
      </c>
      <c r="AC64" s="3">
        <v>810000</v>
      </c>
      <c r="AD64" s="157"/>
      <c r="AE64" s="157"/>
      <c r="AF64" s="157"/>
      <c r="AG64" s="157"/>
      <c r="AH64" s="157"/>
      <c r="AI64" s="157"/>
    </row>
    <row r="65" spans="1:35" s="5" customFormat="1" ht="45" customHeight="1">
      <c r="A65" s="153">
        <f t="shared" si="0"/>
        <v>61</v>
      </c>
      <c r="B65" s="153">
        <v>2150</v>
      </c>
      <c r="C65" s="259" t="s">
        <v>848</v>
      </c>
      <c r="D65" s="154">
        <v>23500000</v>
      </c>
      <c r="E65" s="154">
        <v>23500000</v>
      </c>
      <c r="F65" s="154">
        <v>0</v>
      </c>
      <c r="G65" s="154">
        <v>13150000</v>
      </c>
      <c r="H65" s="154">
        <v>10072483</v>
      </c>
      <c r="I65" s="154">
        <v>0</v>
      </c>
      <c r="J65" s="154">
        <v>346905</v>
      </c>
      <c r="K65" s="154">
        <v>346905</v>
      </c>
      <c r="L65" s="154">
        <v>10419388</v>
      </c>
      <c r="M65" s="154">
        <v>4080612</v>
      </c>
      <c r="N65" s="154">
        <v>0</v>
      </c>
      <c r="O65" s="154">
        <v>9000000</v>
      </c>
      <c r="P65" s="154">
        <v>2730612</v>
      </c>
      <c r="Q65" s="154">
        <v>1350000</v>
      </c>
      <c r="R65" s="154">
        <v>0</v>
      </c>
      <c r="S65" s="154">
        <v>1350000</v>
      </c>
      <c r="T65" s="154">
        <v>0</v>
      </c>
      <c r="U65" s="154">
        <v>0</v>
      </c>
      <c r="V65" s="154">
        <v>0</v>
      </c>
      <c r="W65" s="154">
        <v>0</v>
      </c>
      <c r="X65" s="154">
        <v>0</v>
      </c>
      <c r="Y65" s="154">
        <v>0</v>
      </c>
      <c r="Z65" s="154">
        <v>0</v>
      </c>
      <c r="AA65" s="154">
        <v>0</v>
      </c>
      <c r="AB65" s="259" t="s">
        <v>1200</v>
      </c>
      <c r="AC65" s="3">
        <v>746000</v>
      </c>
      <c r="AD65" s="157"/>
      <c r="AE65" s="157"/>
      <c r="AF65" s="157"/>
      <c r="AG65" s="157"/>
      <c r="AH65" s="157"/>
      <c r="AI65" s="157"/>
    </row>
    <row r="66" spans="1:35" s="5" customFormat="1" ht="45" customHeight="1">
      <c r="A66" s="153">
        <f t="shared" si="0"/>
        <v>62</v>
      </c>
      <c r="B66" s="153">
        <v>2151</v>
      </c>
      <c r="C66" s="259" t="s">
        <v>424</v>
      </c>
      <c r="D66" s="154">
        <v>54000000</v>
      </c>
      <c r="E66" s="154">
        <v>54000000</v>
      </c>
      <c r="F66" s="154">
        <v>0</v>
      </c>
      <c r="G66" s="154">
        <v>5000000</v>
      </c>
      <c r="H66" s="154">
        <v>1512168</v>
      </c>
      <c r="I66" s="154">
        <v>0</v>
      </c>
      <c r="J66" s="154">
        <v>176633</v>
      </c>
      <c r="K66" s="154">
        <v>176633</v>
      </c>
      <c r="L66" s="154">
        <v>1688801</v>
      </c>
      <c r="M66" s="154">
        <v>11199</v>
      </c>
      <c r="N66" s="154">
        <v>4300000</v>
      </c>
      <c r="O66" s="154">
        <v>48000000</v>
      </c>
      <c r="P66" s="154">
        <v>3311199</v>
      </c>
      <c r="Q66" s="154">
        <v>0</v>
      </c>
      <c r="R66" s="154">
        <v>0</v>
      </c>
      <c r="S66" s="154">
        <v>0</v>
      </c>
      <c r="T66" s="154">
        <v>3300000</v>
      </c>
      <c r="U66" s="154">
        <v>1000000</v>
      </c>
      <c r="V66" s="154">
        <v>1000000</v>
      </c>
      <c r="W66" s="154">
        <v>0</v>
      </c>
      <c r="X66" s="154">
        <v>0</v>
      </c>
      <c r="Y66" s="154">
        <v>0</v>
      </c>
      <c r="Z66" s="154">
        <v>0</v>
      </c>
      <c r="AA66" s="154">
        <v>0</v>
      </c>
      <c r="AB66" s="259" t="s">
        <v>952</v>
      </c>
      <c r="AC66" s="3">
        <v>742000</v>
      </c>
      <c r="AD66" s="157"/>
      <c r="AE66" s="157"/>
      <c r="AF66" s="157"/>
      <c r="AG66" s="157"/>
      <c r="AH66" s="157"/>
      <c r="AI66" s="157"/>
    </row>
    <row r="67" spans="1:35" s="5" customFormat="1" ht="45" customHeight="1">
      <c r="A67" s="153">
        <f t="shared" si="0"/>
        <v>63</v>
      </c>
      <c r="B67" s="153">
        <v>2152</v>
      </c>
      <c r="C67" s="259" t="s">
        <v>425</v>
      </c>
      <c r="D67" s="154">
        <v>16000000</v>
      </c>
      <c r="E67" s="154">
        <v>16000000</v>
      </c>
      <c r="F67" s="154">
        <v>0</v>
      </c>
      <c r="G67" s="154">
        <v>1331810</v>
      </c>
      <c r="H67" s="154">
        <v>718751</v>
      </c>
      <c r="I67" s="154">
        <v>0</v>
      </c>
      <c r="J67" s="154">
        <v>122748</v>
      </c>
      <c r="K67" s="154">
        <v>122748</v>
      </c>
      <c r="L67" s="154">
        <v>841499</v>
      </c>
      <c r="M67" s="154">
        <v>490311</v>
      </c>
      <c r="N67" s="154">
        <v>0</v>
      </c>
      <c r="O67" s="154">
        <v>14668190</v>
      </c>
      <c r="P67" s="154">
        <v>490311</v>
      </c>
      <c r="Q67" s="154">
        <v>0</v>
      </c>
      <c r="R67" s="154">
        <v>0</v>
      </c>
      <c r="S67" s="154">
        <v>0</v>
      </c>
      <c r="T67" s="154">
        <v>0</v>
      </c>
      <c r="U67" s="154">
        <v>0</v>
      </c>
      <c r="V67" s="154">
        <v>0</v>
      </c>
      <c r="W67" s="154">
        <v>0</v>
      </c>
      <c r="X67" s="154">
        <v>0</v>
      </c>
      <c r="Y67" s="154">
        <v>0</v>
      </c>
      <c r="Z67" s="154">
        <v>0</v>
      </c>
      <c r="AA67" s="154">
        <v>0</v>
      </c>
      <c r="AB67" s="259" t="s">
        <v>744</v>
      </c>
      <c r="AC67" s="3">
        <v>810000</v>
      </c>
      <c r="AD67" s="157"/>
      <c r="AE67" s="157"/>
      <c r="AF67" s="157"/>
      <c r="AG67" s="157"/>
      <c r="AH67" s="157"/>
      <c r="AI67" s="157"/>
    </row>
    <row r="68" spans="1:35" s="5" customFormat="1" ht="45" customHeight="1">
      <c r="A68" s="153">
        <f t="shared" si="0"/>
        <v>64</v>
      </c>
      <c r="B68" s="153">
        <v>2153</v>
      </c>
      <c r="C68" s="259" t="s">
        <v>455</v>
      </c>
      <c r="D68" s="154">
        <v>225000000</v>
      </c>
      <c r="E68" s="154">
        <v>225000000</v>
      </c>
      <c r="F68" s="154">
        <v>0</v>
      </c>
      <c r="G68" s="154">
        <v>1000000</v>
      </c>
      <c r="H68" s="154">
        <v>524017</v>
      </c>
      <c r="I68" s="154">
        <v>0</v>
      </c>
      <c r="J68" s="154">
        <v>16430</v>
      </c>
      <c r="K68" s="154">
        <v>16430</v>
      </c>
      <c r="L68" s="154">
        <v>540447</v>
      </c>
      <c r="M68" s="154">
        <v>459553</v>
      </c>
      <c r="N68" s="154">
        <v>1000000</v>
      </c>
      <c r="O68" s="154">
        <v>223000000</v>
      </c>
      <c r="P68" s="154">
        <v>459553</v>
      </c>
      <c r="Q68" s="154">
        <v>0</v>
      </c>
      <c r="R68" s="154">
        <v>0</v>
      </c>
      <c r="S68" s="154">
        <v>0</v>
      </c>
      <c r="T68" s="154">
        <v>0</v>
      </c>
      <c r="U68" s="154">
        <v>1000000</v>
      </c>
      <c r="V68" s="154">
        <v>1000000</v>
      </c>
      <c r="W68" s="154">
        <v>0</v>
      </c>
      <c r="X68" s="154">
        <v>0</v>
      </c>
      <c r="Y68" s="154">
        <v>0</v>
      </c>
      <c r="Z68" s="154">
        <v>0</v>
      </c>
      <c r="AA68" s="154">
        <v>0</v>
      </c>
      <c r="AB68" s="259" t="s">
        <v>540</v>
      </c>
      <c r="AC68" s="3">
        <v>829000</v>
      </c>
      <c r="AD68" s="157"/>
      <c r="AE68" s="157"/>
      <c r="AF68" s="157"/>
      <c r="AG68" s="157"/>
      <c r="AH68" s="157"/>
      <c r="AI68" s="157"/>
    </row>
    <row r="69" spans="1:35" s="5" customFormat="1" ht="45" customHeight="1">
      <c r="A69" s="153">
        <f t="shared" si="0"/>
        <v>65</v>
      </c>
      <c r="B69" s="153">
        <v>2164</v>
      </c>
      <c r="C69" s="259" t="s">
        <v>439</v>
      </c>
      <c r="D69" s="154">
        <v>300000</v>
      </c>
      <c r="E69" s="154">
        <v>300000</v>
      </c>
      <c r="F69" s="154">
        <v>0</v>
      </c>
      <c r="G69" s="154">
        <v>300000</v>
      </c>
      <c r="H69" s="154">
        <v>24087</v>
      </c>
      <c r="I69" s="154">
        <v>0</v>
      </c>
      <c r="J69" s="154">
        <v>16059.21</v>
      </c>
      <c r="K69" s="154">
        <v>16059.21</v>
      </c>
      <c r="L69" s="154">
        <v>40146.21</v>
      </c>
      <c r="M69" s="154">
        <v>259853.79</v>
      </c>
      <c r="N69" s="154">
        <v>0</v>
      </c>
      <c r="O69" s="154">
        <v>0</v>
      </c>
      <c r="P69" s="154">
        <v>259853.79</v>
      </c>
      <c r="Q69" s="154">
        <v>0</v>
      </c>
      <c r="R69" s="154">
        <v>0</v>
      </c>
      <c r="S69" s="154">
        <v>0</v>
      </c>
      <c r="T69" s="154">
        <v>0</v>
      </c>
      <c r="U69" s="154">
        <v>0</v>
      </c>
      <c r="V69" s="154">
        <v>0</v>
      </c>
      <c r="W69" s="154">
        <v>0</v>
      </c>
      <c r="X69" s="154">
        <v>0</v>
      </c>
      <c r="Y69" s="154">
        <v>0</v>
      </c>
      <c r="Z69" s="154">
        <v>0</v>
      </c>
      <c r="AA69" s="154">
        <v>0</v>
      </c>
      <c r="AB69" s="259" t="s">
        <v>440</v>
      </c>
      <c r="AC69" s="3"/>
      <c r="AD69" s="157"/>
      <c r="AE69" s="157"/>
      <c r="AF69" s="157"/>
      <c r="AG69" s="157"/>
      <c r="AH69" s="157"/>
      <c r="AI69" s="157"/>
    </row>
    <row r="70" spans="1:35" s="5" customFormat="1" ht="45" customHeight="1">
      <c r="A70" s="153">
        <f t="shared" ref="A70:A105" si="1">A69+1</f>
        <v>66</v>
      </c>
      <c r="B70" s="153">
        <v>2174</v>
      </c>
      <c r="C70" s="259" t="s">
        <v>480</v>
      </c>
      <c r="D70" s="154">
        <v>10598992</v>
      </c>
      <c r="E70" s="154">
        <v>10598992</v>
      </c>
      <c r="F70" s="154">
        <v>0</v>
      </c>
      <c r="G70" s="154">
        <v>10598992</v>
      </c>
      <c r="H70" s="154">
        <v>10315714</v>
      </c>
      <c r="I70" s="154">
        <v>0</v>
      </c>
      <c r="J70" s="154">
        <v>203718</v>
      </c>
      <c r="K70" s="154">
        <v>203718</v>
      </c>
      <c r="L70" s="154">
        <v>10519432</v>
      </c>
      <c r="M70" s="154">
        <v>79560</v>
      </c>
      <c r="N70" s="154">
        <v>0</v>
      </c>
      <c r="O70" s="154">
        <v>0</v>
      </c>
      <c r="P70" s="154">
        <v>79560</v>
      </c>
      <c r="Q70" s="154">
        <v>0</v>
      </c>
      <c r="R70" s="154">
        <v>0</v>
      </c>
      <c r="S70" s="154">
        <v>0</v>
      </c>
      <c r="T70" s="154">
        <v>0</v>
      </c>
      <c r="U70" s="154">
        <v>0</v>
      </c>
      <c r="V70" s="154">
        <v>0</v>
      </c>
      <c r="W70" s="154">
        <v>0</v>
      </c>
      <c r="X70" s="154">
        <v>0</v>
      </c>
      <c r="Y70" s="154">
        <v>0</v>
      </c>
      <c r="Z70" s="154">
        <v>0</v>
      </c>
      <c r="AA70" s="154">
        <v>0</v>
      </c>
      <c r="AB70" s="259" t="s">
        <v>1475</v>
      </c>
      <c r="AC70" s="3">
        <v>810000</v>
      </c>
      <c r="AD70" s="157"/>
      <c r="AE70" s="157"/>
      <c r="AF70" s="157"/>
      <c r="AG70" s="157"/>
      <c r="AH70" s="157"/>
      <c r="AI70" s="157"/>
    </row>
    <row r="71" spans="1:35" s="5" customFormat="1" ht="45" customHeight="1">
      <c r="A71" s="153">
        <f t="shared" si="1"/>
        <v>67</v>
      </c>
      <c r="B71" s="153">
        <v>2175</v>
      </c>
      <c r="C71" s="259" t="s">
        <v>481</v>
      </c>
      <c r="D71" s="154">
        <v>21000000</v>
      </c>
      <c r="E71" s="154">
        <v>21000000</v>
      </c>
      <c r="F71" s="154">
        <v>0</v>
      </c>
      <c r="G71" s="154">
        <v>5665336</v>
      </c>
      <c r="H71" s="154">
        <v>1275603</v>
      </c>
      <c r="I71" s="154">
        <v>0</v>
      </c>
      <c r="J71" s="154">
        <v>528758</v>
      </c>
      <c r="K71" s="154">
        <v>528758</v>
      </c>
      <c r="L71" s="154">
        <v>1804361</v>
      </c>
      <c r="M71" s="154">
        <v>7806272</v>
      </c>
      <c r="N71" s="154">
        <v>9334664</v>
      </c>
      <c r="O71" s="154">
        <v>2054703</v>
      </c>
      <c r="P71" s="154">
        <v>3860975</v>
      </c>
      <c r="Q71" s="154">
        <v>3945297</v>
      </c>
      <c r="R71" s="154">
        <v>0</v>
      </c>
      <c r="S71" s="154">
        <v>3945297</v>
      </c>
      <c r="T71" s="154">
        <v>0</v>
      </c>
      <c r="U71" s="154">
        <v>9334664</v>
      </c>
      <c r="V71" s="154">
        <v>9334664</v>
      </c>
      <c r="W71" s="154">
        <v>0</v>
      </c>
      <c r="X71" s="154">
        <v>0</v>
      </c>
      <c r="Y71" s="154">
        <v>0</v>
      </c>
      <c r="Z71" s="154">
        <v>0</v>
      </c>
      <c r="AA71" s="154">
        <v>0</v>
      </c>
      <c r="AB71" s="259" t="s">
        <v>1476</v>
      </c>
      <c r="AC71" s="3">
        <v>810000</v>
      </c>
      <c r="AD71" s="157"/>
      <c r="AE71" s="157"/>
      <c r="AF71" s="157"/>
      <c r="AG71" s="157"/>
      <c r="AH71" s="157"/>
      <c r="AI71" s="157"/>
    </row>
    <row r="72" spans="1:35" s="5" customFormat="1" ht="45" customHeight="1">
      <c r="A72" s="153">
        <f t="shared" si="1"/>
        <v>68</v>
      </c>
      <c r="B72" s="153">
        <v>2180</v>
      </c>
      <c r="C72" s="259" t="s">
        <v>482</v>
      </c>
      <c r="D72" s="154">
        <v>1000000</v>
      </c>
      <c r="E72" s="154">
        <v>1000000</v>
      </c>
      <c r="F72" s="154">
        <v>0</v>
      </c>
      <c r="G72" s="154">
        <v>1000000</v>
      </c>
      <c r="H72" s="154">
        <v>107809</v>
      </c>
      <c r="I72" s="154">
        <v>0</v>
      </c>
      <c r="J72" s="154">
        <v>140229</v>
      </c>
      <c r="K72" s="154">
        <v>140229</v>
      </c>
      <c r="L72" s="154">
        <v>248038</v>
      </c>
      <c r="M72" s="154">
        <v>751962</v>
      </c>
      <c r="N72" s="154">
        <v>0</v>
      </c>
      <c r="O72" s="154">
        <v>0</v>
      </c>
      <c r="P72" s="154">
        <v>751962</v>
      </c>
      <c r="Q72" s="154">
        <v>0</v>
      </c>
      <c r="R72" s="154">
        <v>0</v>
      </c>
      <c r="S72" s="154">
        <v>0</v>
      </c>
      <c r="T72" s="154">
        <v>0</v>
      </c>
      <c r="U72" s="154">
        <v>0</v>
      </c>
      <c r="V72" s="154">
        <v>0</v>
      </c>
      <c r="W72" s="154">
        <v>0</v>
      </c>
      <c r="X72" s="154">
        <v>0</v>
      </c>
      <c r="Y72" s="154">
        <v>0</v>
      </c>
      <c r="Z72" s="154">
        <v>0</v>
      </c>
      <c r="AA72" s="154">
        <v>0</v>
      </c>
      <c r="AB72" s="259" t="s">
        <v>541</v>
      </c>
      <c r="AC72" s="3">
        <v>732000</v>
      </c>
      <c r="AD72" s="157"/>
      <c r="AE72" s="157"/>
      <c r="AF72" s="157"/>
      <c r="AG72" s="157"/>
      <c r="AH72" s="157"/>
      <c r="AI72" s="157"/>
    </row>
    <row r="73" spans="1:35" s="5" customFormat="1" ht="45" customHeight="1">
      <c r="A73" s="153">
        <f t="shared" si="1"/>
        <v>69</v>
      </c>
      <c r="B73" s="153">
        <v>2182</v>
      </c>
      <c r="C73" s="259" t="s">
        <v>483</v>
      </c>
      <c r="D73" s="154">
        <v>3900000</v>
      </c>
      <c r="E73" s="154">
        <v>2500000</v>
      </c>
      <c r="F73" s="154">
        <v>1400000</v>
      </c>
      <c r="G73" s="154">
        <v>2000000</v>
      </c>
      <c r="H73" s="154">
        <v>553411</v>
      </c>
      <c r="I73" s="154">
        <v>0</v>
      </c>
      <c r="J73" s="154">
        <v>306519</v>
      </c>
      <c r="K73" s="154">
        <v>306519</v>
      </c>
      <c r="L73" s="154">
        <v>859930</v>
      </c>
      <c r="M73" s="154">
        <v>140070</v>
      </c>
      <c r="N73" s="154">
        <v>1350000</v>
      </c>
      <c r="O73" s="154">
        <v>1550000</v>
      </c>
      <c r="P73" s="154">
        <v>1140070</v>
      </c>
      <c r="Q73" s="154">
        <v>0</v>
      </c>
      <c r="R73" s="154">
        <v>0</v>
      </c>
      <c r="S73" s="154">
        <v>0</v>
      </c>
      <c r="T73" s="154">
        <v>1000000</v>
      </c>
      <c r="U73" s="154">
        <v>350000</v>
      </c>
      <c r="V73" s="154">
        <v>350000</v>
      </c>
      <c r="W73" s="154">
        <v>0</v>
      </c>
      <c r="X73" s="154">
        <v>0</v>
      </c>
      <c r="Y73" s="154">
        <v>0</v>
      </c>
      <c r="Z73" s="154">
        <v>0</v>
      </c>
      <c r="AA73" s="154">
        <v>0</v>
      </c>
      <c r="AB73" s="259" t="s">
        <v>605</v>
      </c>
      <c r="AC73" s="3">
        <v>810000</v>
      </c>
      <c r="AD73" s="157"/>
      <c r="AE73" s="157"/>
      <c r="AF73" s="157"/>
      <c r="AG73" s="157"/>
      <c r="AH73" s="157"/>
      <c r="AI73" s="157"/>
    </row>
    <row r="74" spans="1:35" customFormat="1" ht="45" customHeight="1">
      <c r="A74" s="153">
        <f t="shared" si="1"/>
        <v>70</v>
      </c>
      <c r="B74" s="153">
        <v>2184</v>
      </c>
      <c r="C74" s="259" t="s">
        <v>490</v>
      </c>
      <c r="D74" s="154">
        <v>2180000</v>
      </c>
      <c r="E74" s="154">
        <v>2180000</v>
      </c>
      <c r="F74" s="154">
        <v>0</v>
      </c>
      <c r="G74" s="154">
        <v>560000</v>
      </c>
      <c r="H74" s="154">
        <v>43432</v>
      </c>
      <c r="I74" s="154">
        <v>0</v>
      </c>
      <c r="J74" s="154">
        <v>0</v>
      </c>
      <c r="K74" s="154">
        <v>0</v>
      </c>
      <c r="L74" s="154">
        <v>43432</v>
      </c>
      <c r="M74" s="154">
        <v>516568</v>
      </c>
      <c r="N74" s="154">
        <v>0</v>
      </c>
      <c r="O74" s="154">
        <v>1620000</v>
      </c>
      <c r="P74" s="154">
        <v>516568</v>
      </c>
      <c r="Q74" s="154">
        <v>0</v>
      </c>
      <c r="R74" s="154">
        <v>0</v>
      </c>
      <c r="S74" s="154">
        <v>0</v>
      </c>
      <c r="T74" s="154">
        <v>0</v>
      </c>
      <c r="U74" s="154">
        <v>0</v>
      </c>
      <c r="V74" s="154">
        <v>0</v>
      </c>
      <c r="W74" s="154">
        <v>0</v>
      </c>
      <c r="X74" s="154">
        <v>0</v>
      </c>
      <c r="Y74" s="154">
        <v>0</v>
      </c>
      <c r="Z74" s="154">
        <v>0</v>
      </c>
      <c r="AA74" s="154">
        <v>0</v>
      </c>
      <c r="AB74" s="259" t="s">
        <v>596</v>
      </c>
      <c r="AC74" s="3">
        <v>930000</v>
      </c>
      <c r="AD74" s="157"/>
      <c r="AE74" s="157"/>
      <c r="AF74" s="157"/>
      <c r="AG74" s="157"/>
    </row>
    <row r="75" spans="1:35" s="5" customFormat="1" ht="45" customHeight="1">
      <c r="A75" s="153">
        <f t="shared" si="1"/>
        <v>71</v>
      </c>
      <c r="B75" s="153">
        <v>2185</v>
      </c>
      <c r="C75" s="259" t="s">
        <v>484</v>
      </c>
      <c r="D75" s="154">
        <v>40000000</v>
      </c>
      <c r="E75" s="154">
        <v>40000000</v>
      </c>
      <c r="F75" s="154">
        <v>0</v>
      </c>
      <c r="G75" s="154">
        <v>981587</v>
      </c>
      <c r="H75" s="154">
        <v>458266</v>
      </c>
      <c r="I75" s="154">
        <v>0</v>
      </c>
      <c r="J75" s="154">
        <v>198595</v>
      </c>
      <c r="K75" s="154">
        <v>198595</v>
      </c>
      <c r="L75" s="154">
        <v>656861</v>
      </c>
      <c r="M75" s="154">
        <v>2730421</v>
      </c>
      <c r="N75" s="154">
        <v>6398625</v>
      </c>
      <c r="O75" s="154">
        <v>30214093</v>
      </c>
      <c r="P75" s="154">
        <v>324726</v>
      </c>
      <c r="Q75" s="154">
        <v>4405695</v>
      </c>
      <c r="R75" s="154">
        <v>0</v>
      </c>
      <c r="S75" s="154">
        <v>4405695</v>
      </c>
      <c r="T75" s="154">
        <v>2000000</v>
      </c>
      <c r="U75" s="154">
        <v>4398625</v>
      </c>
      <c r="V75" s="154">
        <v>0</v>
      </c>
      <c r="W75" s="154">
        <v>0</v>
      </c>
      <c r="X75" s="154">
        <v>0</v>
      </c>
      <c r="Y75" s="154">
        <v>0</v>
      </c>
      <c r="Z75" s="154">
        <v>0</v>
      </c>
      <c r="AA75" s="154">
        <v>4398625</v>
      </c>
      <c r="AB75" s="259" t="s">
        <v>1295</v>
      </c>
      <c r="AC75" s="3">
        <v>810000</v>
      </c>
      <c r="AD75" s="157"/>
      <c r="AE75" s="157"/>
      <c r="AF75" s="157"/>
      <c r="AG75" s="157"/>
      <c r="AH75" s="157"/>
      <c r="AI75" s="157"/>
    </row>
    <row r="76" spans="1:35" s="5" customFormat="1" ht="45" customHeight="1">
      <c r="A76" s="153">
        <f t="shared" si="1"/>
        <v>72</v>
      </c>
      <c r="B76" s="153">
        <v>2191</v>
      </c>
      <c r="C76" s="259" t="s">
        <v>564</v>
      </c>
      <c r="D76" s="154">
        <v>14000000</v>
      </c>
      <c r="E76" s="154">
        <v>14000000</v>
      </c>
      <c r="F76" s="154">
        <v>0</v>
      </c>
      <c r="G76" s="154">
        <v>500000</v>
      </c>
      <c r="H76" s="154">
        <v>300187</v>
      </c>
      <c r="I76" s="154">
        <v>0</v>
      </c>
      <c r="J76" s="154">
        <v>71872</v>
      </c>
      <c r="K76" s="154">
        <v>71872</v>
      </c>
      <c r="L76" s="154">
        <v>372059</v>
      </c>
      <c r="M76" s="154">
        <v>327941</v>
      </c>
      <c r="N76" s="154">
        <v>0</v>
      </c>
      <c r="O76" s="154">
        <v>13300000</v>
      </c>
      <c r="P76" s="154">
        <v>127941</v>
      </c>
      <c r="Q76" s="154">
        <v>200000</v>
      </c>
      <c r="R76" s="154">
        <v>0</v>
      </c>
      <c r="S76" s="154">
        <v>200000</v>
      </c>
      <c r="T76" s="154">
        <v>0</v>
      </c>
      <c r="U76" s="154">
        <v>0</v>
      </c>
      <c r="V76" s="154">
        <v>0</v>
      </c>
      <c r="W76" s="154">
        <v>0</v>
      </c>
      <c r="X76" s="154">
        <v>0</v>
      </c>
      <c r="Y76" s="154">
        <v>0</v>
      </c>
      <c r="Z76" s="154">
        <v>0</v>
      </c>
      <c r="AA76" s="154">
        <v>0</v>
      </c>
      <c r="AB76" s="259" t="s">
        <v>745</v>
      </c>
      <c r="AC76" s="3">
        <v>742000</v>
      </c>
      <c r="AD76" s="157"/>
      <c r="AE76" s="157"/>
      <c r="AF76" s="157"/>
      <c r="AG76" s="157"/>
      <c r="AH76" s="157"/>
      <c r="AI76" s="157"/>
    </row>
    <row r="77" spans="1:35" s="5" customFormat="1" ht="45" customHeight="1">
      <c r="A77" s="153">
        <f t="shared" si="1"/>
        <v>73</v>
      </c>
      <c r="B77" s="153">
        <v>2194</v>
      </c>
      <c r="C77" s="259" t="s">
        <v>567</v>
      </c>
      <c r="D77" s="154">
        <v>700000</v>
      </c>
      <c r="E77" s="154">
        <v>700000</v>
      </c>
      <c r="F77" s="154">
        <v>0</v>
      </c>
      <c r="G77" s="154">
        <v>500000</v>
      </c>
      <c r="H77" s="154">
        <v>0</v>
      </c>
      <c r="I77" s="154">
        <v>0</v>
      </c>
      <c r="J77" s="154">
        <v>0</v>
      </c>
      <c r="K77" s="154">
        <v>0</v>
      </c>
      <c r="L77" s="154">
        <v>0</v>
      </c>
      <c r="M77" s="154">
        <v>100000</v>
      </c>
      <c r="N77" s="154">
        <v>0</v>
      </c>
      <c r="O77" s="154">
        <v>600000</v>
      </c>
      <c r="P77" s="154">
        <v>500000</v>
      </c>
      <c r="Q77" s="154">
        <v>0</v>
      </c>
      <c r="R77" s="154">
        <v>0</v>
      </c>
      <c r="S77" s="154">
        <v>0</v>
      </c>
      <c r="T77" s="154">
        <v>400000</v>
      </c>
      <c r="U77" s="154">
        <v>-400000</v>
      </c>
      <c r="V77" s="154">
        <v>-400000</v>
      </c>
      <c r="W77" s="154">
        <v>0</v>
      </c>
      <c r="X77" s="154">
        <v>0</v>
      </c>
      <c r="Y77" s="154">
        <v>0</v>
      </c>
      <c r="Z77" s="154">
        <v>0</v>
      </c>
      <c r="AA77" s="154">
        <v>0</v>
      </c>
      <c r="AB77" s="259" t="s">
        <v>746</v>
      </c>
      <c r="AC77" s="3">
        <v>742000</v>
      </c>
      <c r="AD77" s="157"/>
      <c r="AE77" s="157"/>
      <c r="AF77" s="157"/>
      <c r="AG77" s="157"/>
      <c r="AH77" s="157"/>
      <c r="AI77" s="157"/>
    </row>
    <row r="78" spans="1:35" s="5" customFormat="1" ht="45" customHeight="1">
      <c r="A78" s="153">
        <f t="shared" si="1"/>
        <v>74</v>
      </c>
      <c r="B78" s="153">
        <v>2196</v>
      </c>
      <c r="C78" s="259" t="s">
        <v>569</v>
      </c>
      <c r="D78" s="154">
        <v>21135000</v>
      </c>
      <c r="E78" s="154">
        <v>21135000</v>
      </c>
      <c r="F78" s="154">
        <v>0</v>
      </c>
      <c r="G78" s="154">
        <v>500000</v>
      </c>
      <c r="H78" s="154">
        <v>317834</v>
      </c>
      <c r="I78" s="154">
        <v>0</v>
      </c>
      <c r="J78" s="154">
        <v>110035</v>
      </c>
      <c r="K78" s="154">
        <v>110035</v>
      </c>
      <c r="L78" s="154">
        <v>427869</v>
      </c>
      <c r="M78" s="154">
        <v>572131</v>
      </c>
      <c r="N78" s="154">
        <v>1000000</v>
      </c>
      <c r="O78" s="154">
        <v>19135000</v>
      </c>
      <c r="P78" s="154">
        <v>72131</v>
      </c>
      <c r="Q78" s="154">
        <v>500000</v>
      </c>
      <c r="R78" s="154">
        <v>0</v>
      </c>
      <c r="S78" s="154">
        <v>500000</v>
      </c>
      <c r="T78" s="154">
        <v>0</v>
      </c>
      <c r="U78" s="154">
        <v>1000000</v>
      </c>
      <c r="V78" s="154">
        <v>1000000</v>
      </c>
      <c r="W78" s="154">
        <v>0</v>
      </c>
      <c r="X78" s="154">
        <v>0</v>
      </c>
      <c r="Y78" s="154">
        <v>0</v>
      </c>
      <c r="Z78" s="154">
        <v>0</v>
      </c>
      <c r="AA78" s="154">
        <v>0</v>
      </c>
      <c r="AB78" s="259" t="s">
        <v>747</v>
      </c>
      <c r="AC78" s="3">
        <v>742000</v>
      </c>
      <c r="AD78" s="157"/>
      <c r="AE78" s="157"/>
      <c r="AF78" s="157"/>
      <c r="AG78" s="157"/>
      <c r="AH78" s="157"/>
      <c r="AI78" s="157"/>
    </row>
    <row r="79" spans="1:35" s="5" customFormat="1" ht="45" customHeight="1">
      <c r="A79" s="153">
        <f t="shared" si="1"/>
        <v>75</v>
      </c>
      <c r="B79" s="153">
        <v>2197</v>
      </c>
      <c r="C79" s="259" t="s">
        <v>570</v>
      </c>
      <c r="D79" s="154">
        <v>15160000</v>
      </c>
      <c r="E79" s="154">
        <v>15160000</v>
      </c>
      <c r="F79" s="154">
        <v>0</v>
      </c>
      <c r="G79" s="154">
        <v>600000</v>
      </c>
      <c r="H79" s="154">
        <v>479168</v>
      </c>
      <c r="I79" s="154">
        <v>0</v>
      </c>
      <c r="J79" s="154">
        <v>12402</v>
      </c>
      <c r="K79" s="154">
        <v>12402</v>
      </c>
      <c r="L79" s="154">
        <v>491570</v>
      </c>
      <c r="M79" s="154">
        <v>208430</v>
      </c>
      <c r="N79" s="154">
        <v>0</v>
      </c>
      <c r="O79" s="154">
        <v>14460000</v>
      </c>
      <c r="P79" s="154">
        <v>108430</v>
      </c>
      <c r="Q79" s="154">
        <v>100000</v>
      </c>
      <c r="R79" s="154">
        <v>0</v>
      </c>
      <c r="S79" s="154">
        <v>100000</v>
      </c>
      <c r="T79" s="154">
        <v>0</v>
      </c>
      <c r="U79" s="154">
        <v>0</v>
      </c>
      <c r="V79" s="154">
        <v>0</v>
      </c>
      <c r="W79" s="154">
        <v>0</v>
      </c>
      <c r="X79" s="154">
        <v>0</v>
      </c>
      <c r="Y79" s="154">
        <v>0</v>
      </c>
      <c r="Z79" s="154">
        <v>0</v>
      </c>
      <c r="AA79" s="154">
        <v>0</v>
      </c>
      <c r="AB79" s="259" t="s">
        <v>1398</v>
      </c>
      <c r="AC79" s="3">
        <v>742000</v>
      </c>
      <c r="AD79" s="157"/>
      <c r="AE79" s="157"/>
      <c r="AF79" s="157"/>
      <c r="AG79" s="157"/>
      <c r="AH79" s="157"/>
      <c r="AI79" s="157"/>
    </row>
    <row r="80" spans="1:35" s="5" customFormat="1" ht="45" customHeight="1">
      <c r="A80" s="153">
        <f t="shared" si="1"/>
        <v>76</v>
      </c>
      <c r="B80" s="153">
        <v>2198</v>
      </c>
      <c r="C80" s="259" t="s">
        <v>571</v>
      </c>
      <c r="D80" s="154">
        <v>16030000</v>
      </c>
      <c r="E80" s="154">
        <v>16030000</v>
      </c>
      <c r="F80" s="154">
        <v>0</v>
      </c>
      <c r="G80" s="154">
        <v>500000</v>
      </c>
      <c r="H80" s="154">
        <v>290055</v>
      </c>
      <c r="I80" s="154">
        <v>0</v>
      </c>
      <c r="J80" s="154">
        <v>19997</v>
      </c>
      <c r="K80" s="154">
        <v>19997</v>
      </c>
      <c r="L80" s="154">
        <v>310052</v>
      </c>
      <c r="M80" s="154">
        <v>489948</v>
      </c>
      <c r="N80" s="154">
        <v>0</v>
      </c>
      <c r="O80" s="154">
        <v>15230000</v>
      </c>
      <c r="P80" s="154">
        <v>189948</v>
      </c>
      <c r="Q80" s="154">
        <v>300000</v>
      </c>
      <c r="R80" s="154">
        <v>0</v>
      </c>
      <c r="S80" s="154">
        <v>300000</v>
      </c>
      <c r="T80" s="154">
        <v>0</v>
      </c>
      <c r="U80" s="154">
        <v>0</v>
      </c>
      <c r="V80" s="154">
        <v>0</v>
      </c>
      <c r="W80" s="154">
        <v>0</v>
      </c>
      <c r="X80" s="154">
        <v>0</v>
      </c>
      <c r="Y80" s="154">
        <v>0</v>
      </c>
      <c r="Z80" s="154">
        <v>0</v>
      </c>
      <c r="AA80" s="154">
        <v>0</v>
      </c>
      <c r="AB80" s="259" t="s">
        <v>820</v>
      </c>
      <c r="AC80" s="3">
        <v>742000</v>
      </c>
      <c r="AD80" s="157"/>
      <c r="AE80" s="157"/>
      <c r="AF80" s="157"/>
      <c r="AG80" s="157"/>
      <c r="AH80" s="157"/>
      <c r="AI80" s="157"/>
    </row>
    <row r="81" spans="1:39" s="5" customFormat="1" ht="55.2">
      <c r="A81" s="153">
        <f t="shared" si="1"/>
        <v>77</v>
      </c>
      <c r="B81" s="153">
        <v>2201</v>
      </c>
      <c r="C81" s="259" t="s">
        <v>544</v>
      </c>
      <c r="D81" s="154">
        <v>80000000</v>
      </c>
      <c r="E81" s="154">
        <v>80000000</v>
      </c>
      <c r="F81" s="154">
        <v>0</v>
      </c>
      <c r="G81" s="154">
        <v>650000</v>
      </c>
      <c r="H81" s="154">
        <v>340518</v>
      </c>
      <c r="I81" s="154">
        <v>0</v>
      </c>
      <c r="J81" s="154">
        <v>36993</v>
      </c>
      <c r="K81" s="154">
        <v>36993</v>
      </c>
      <c r="L81" s="154">
        <v>377511</v>
      </c>
      <c r="M81" s="154">
        <v>1122489</v>
      </c>
      <c r="N81" s="154">
        <v>20851623</v>
      </c>
      <c r="O81" s="154">
        <v>57648377</v>
      </c>
      <c r="P81" s="154">
        <v>272489</v>
      </c>
      <c r="Q81" s="154">
        <v>850000</v>
      </c>
      <c r="R81" s="154">
        <v>0</v>
      </c>
      <c r="S81" s="154">
        <v>850000</v>
      </c>
      <c r="T81" s="154">
        <v>0</v>
      </c>
      <c r="U81" s="154">
        <v>20851623</v>
      </c>
      <c r="V81" s="154">
        <v>1000000</v>
      </c>
      <c r="W81" s="154">
        <v>0</v>
      </c>
      <c r="X81" s="154">
        <v>0</v>
      </c>
      <c r="Y81" s="154">
        <v>0</v>
      </c>
      <c r="Z81" s="154">
        <v>0</v>
      </c>
      <c r="AA81" s="154">
        <v>19851623</v>
      </c>
      <c r="AB81" s="259" t="s">
        <v>1477</v>
      </c>
      <c r="AC81" s="3">
        <v>810000</v>
      </c>
      <c r="AD81" s="157"/>
      <c r="AE81" s="157"/>
      <c r="AF81" s="157"/>
      <c r="AG81" s="157"/>
      <c r="AH81" s="157"/>
      <c r="AI81" s="157"/>
    </row>
    <row r="82" spans="1:39" s="5" customFormat="1" ht="45" customHeight="1">
      <c r="A82" s="153">
        <f t="shared" si="1"/>
        <v>78</v>
      </c>
      <c r="B82" s="153">
        <v>2202</v>
      </c>
      <c r="C82" s="259" t="s">
        <v>545</v>
      </c>
      <c r="D82" s="154">
        <v>49000000</v>
      </c>
      <c r="E82" s="154">
        <v>1000000</v>
      </c>
      <c r="F82" s="154">
        <v>48000000</v>
      </c>
      <c r="G82" s="154">
        <v>1000000</v>
      </c>
      <c r="H82" s="154">
        <v>259284</v>
      </c>
      <c r="I82" s="154">
        <v>0</v>
      </c>
      <c r="J82" s="154">
        <v>112775</v>
      </c>
      <c r="K82" s="154">
        <v>112775</v>
      </c>
      <c r="L82" s="154">
        <v>372059</v>
      </c>
      <c r="M82" s="154">
        <v>627941</v>
      </c>
      <c r="N82" s="154">
        <v>0</v>
      </c>
      <c r="O82" s="154">
        <v>48000000</v>
      </c>
      <c r="P82" s="154">
        <v>627941</v>
      </c>
      <c r="Q82" s="154">
        <v>0</v>
      </c>
      <c r="R82" s="154">
        <v>0</v>
      </c>
      <c r="S82" s="154">
        <v>0</v>
      </c>
      <c r="T82" s="154">
        <v>0</v>
      </c>
      <c r="U82" s="154">
        <v>0</v>
      </c>
      <c r="V82" s="154">
        <v>0</v>
      </c>
      <c r="W82" s="154">
        <v>0</v>
      </c>
      <c r="X82" s="154">
        <v>0</v>
      </c>
      <c r="Y82" s="154">
        <v>0</v>
      </c>
      <c r="Z82" s="154">
        <v>0</v>
      </c>
      <c r="AA82" s="154">
        <v>0</v>
      </c>
      <c r="AB82" s="259" t="s">
        <v>749</v>
      </c>
      <c r="AC82" s="3">
        <v>810000</v>
      </c>
      <c r="AD82" s="157"/>
      <c r="AE82" s="157"/>
      <c r="AF82" s="157"/>
      <c r="AG82" s="157"/>
      <c r="AH82" s="157"/>
      <c r="AI82" s="157"/>
    </row>
    <row r="83" spans="1:39" s="5" customFormat="1" ht="45" customHeight="1">
      <c r="A83" s="153">
        <f t="shared" si="1"/>
        <v>79</v>
      </c>
      <c r="B83" s="153">
        <v>2203</v>
      </c>
      <c r="C83" s="259" t="s">
        <v>1358</v>
      </c>
      <c r="D83" s="154">
        <v>1000000</v>
      </c>
      <c r="E83" s="154">
        <v>1000000</v>
      </c>
      <c r="F83" s="154">
        <v>0</v>
      </c>
      <c r="G83" s="154">
        <v>1000000</v>
      </c>
      <c r="H83" s="154">
        <v>0</v>
      </c>
      <c r="I83" s="154">
        <v>0</v>
      </c>
      <c r="J83" s="154">
        <v>124020</v>
      </c>
      <c r="K83" s="154">
        <v>124020</v>
      </c>
      <c r="L83" s="154">
        <v>124020</v>
      </c>
      <c r="M83" s="154">
        <v>875980</v>
      </c>
      <c r="N83" s="154">
        <v>0</v>
      </c>
      <c r="O83" s="154">
        <v>0</v>
      </c>
      <c r="P83" s="154">
        <v>875980</v>
      </c>
      <c r="Q83" s="154">
        <v>0</v>
      </c>
      <c r="R83" s="154">
        <v>0</v>
      </c>
      <c r="S83" s="154">
        <v>0</v>
      </c>
      <c r="T83" s="154">
        <v>0</v>
      </c>
      <c r="U83" s="154">
        <v>0</v>
      </c>
      <c r="V83" s="154">
        <v>0</v>
      </c>
      <c r="W83" s="154">
        <v>0</v>
      </c>
      <c r="X83" s="154">
        <v>0</v>
      </c>
      <c r="Y83" s="154">
        <v>0</v>
      </c>
      <c r="Z83" s="154">
        <v>0</v>
      </c>
      <c r="AA83" s="154">
        <v>0</v>
      </c>
      <c r="AB83" s="259" t="s">
        <v>1399</v>
      </c>
      <c r="AC83" s="419">
        <v>829000</v>
      </c>
      <c r="AD83" s="157"/>
      <c r="AE83" s="157"/>
      <c r="AF83" s="157"/>
      <c r="AG83" s="157"/>
      <c r="AH83" s="157"/>
      <c r="AI83" s="157"/>
    </row>
    <row r="84" spans="1:39" s="5" customFormat="1" ht="45" customHeight="1">
      <c r="A84" s="153">
        <f t="shared" si="1"/>
        <v>80</v>
      </c>
      <c r="B84" s="153">
        <v>2205</v>
      </c>
      <c r="C84" s="259" t="s">
        <v>496</v>
      </c>
      <c r="D84" s="154">
        <v>18000000</v>
      </c>
      <c r="E84" s="154">
        <v>16000000</v>
      </c>
      <c r="F84" s="154">
        <v>2000000</v>
      </c>
      <c r="G84" s="154">
        <v>1077600</v>
      </c>
      <c r="H84" s="154">
        <v>642658</v>
      </c>
      <c r="I84" s="154">
        <v>0</v>
      </c>
      <c r="J84" s="154">
        <v>330898</v>
      </c>
      <c r="K84" s="154">
        <v>330898</v>
      </c>
      <c r="L84" s="154">
        <v>973556</v>
      </c>
      <c r="M84" s="154">
        <v>6804044</v>
      </c>
      <c r="N84" s="154">
        <v>10222400</v>
      </c>
      <c r="O84" s="154">
        <v>0</v>
      </c>
      <c r="P84" s="154">
        <v>104044</v>
      </c>
      <c r="Q84" s="154">
        <v>6700000</v>
      </c>
      <c r="R84" s="154">
        <v>0</v>
      </c>
      <c r="S84" s="154">
        <v>6700000</v>
      </c>
      <c r="T84" s="154">
        <v>0</v>
      </c>
      <c r="U84" s="154">
        <v>10222400</v>
      </c>
      <c r="V84" s="154">
        <v>10222400</v>
      </c>
      <c r="W84" s="154">
        <v>0</v>
      </c>
      <c r="X84" s="154">
        <v>0</v>
      </c>
      <c r="Y84" s="154">
        <v>0</v>
      </c>
      <c r="Z84" s="154">
        <v>0</v>
      </c>
      <c r="AA84" s="154">
        <v>0</v>
      </c>
      <c r="AB84" s="259" t="s">
        <v>1297</v>
      </c>
      <c r="AC84" s="3">
        <v>810000</v>
      </c>
      <c r="AD84" s="157"/>
      <c r="AE84" s="157"/>
      <c r="AF84" s="157"/>
      <c r="AG84" s="157"/>
      <c r="AH84" s="157"/>
      <c r="AI84" s="157"/>
    </row>
    <row r="85" spans="1:39" s="5" customFormat="1" ht="45" customHeight="1">
      <c r="A85" s="153">
        <f t="shared" si="1"/>
        <v>81</v>
      </c>
      <c r="B85" s="153">
        <v>2206</v>
      </c>
      <c r="C85" s="259" t="s">
        <v>546</v>
      </c>
      <c r="D85" s="154">
        <v>92000000</v>
      </c>
      <c r="E85" s="154">
        <v>4000000</v>
      </c>
      <c r="F85" s="154">
        <v>88000000</v>
      </c>
      <c r="G85" s="154">
        <v>1866551</v>
      </c>
      <c r="H85" s="154">
        <v>1445296</v>
      </c>
      <c r="I85" s="154">
        <v>0</v>
      </c>
      <c r="J85" s="154">
        <v>415003</v>
      </c>
      <c r="K85" s="154">
        <v>415003</v>
      </c>
      <c r="L85" s="154">
        <v>1860299</v>
      </c>
      <c r="M85" s="154">
        <v>6252</v>
      </c>
      <c r="N85" s="154">
        <v>13406636</v>
      </c>
      <c r="O85" s="154">
        <v>76726813</v>
      </c>
      <c r="P85" s="154">
        <v>6252</v>
      </c>
      <c r="Q85" s="154">
        <v>0</v>
      </c>
      <c r="R85" s="154">
        <v>0</v>
      </c>
      <c r="S85" s="154">
        <v>0</v>
      </c>
      <c r="T85" s="154">
        <v>0</v>
      </c>
      <c r="U85" s="154">
        <v>13406636</v>
      </c>
      <c r="V85" s="154">
        <v>1000000</v>
      </c>
      <c r="W85" s="154">
        <v>0</v>
      </c>
      <c r="X85" s="154">
        <v>0</v>
      </c>
      <c r="Y85" s="154">
        <v>0</v>
      </c>
      <c r="Z85" s="154">
        <v>0</v>
      </c>
      <c r="AA85" s="154">
        <v>12406636</v>
      </c>
      <c r="AB85" s="259" t="s">
        <v>1478</v>
      </c>
      <c r="AC85" s="3">
        <v>810000</v>
      </c>
      <c r="AD85" s="157"/>
      <c r="AE85" s="157"/>
      <c r="AF85" s="157"/>
      <c r="AG85" s="157"/>
      <c r="AH85" s="157"/>
      <c r="AI85" s="157"/>
    </row>
    <row r="86" spans="1:39" s="5" customFormat="1" ht="45" customHeight="1">
      <c r="A86" s="153">
        <f t="shared" si="1"/>
        <v>82</v>
      </c>
      <c r="B86" s="153">
        <v>2207</v>
      </c>
      <c r="C86" s="259" t="s">
        <v>547</v>
      </c>
      <c r="D86" s="154">
        <v>500000</v>
      </c>
      <c r="E86" s="154">
        <v>500000</v>
      </c>
      <c r="F86" s="154">
        <v>0</v>
      </c>
      <c r="G86" s="154">
        <v>500000</v>
      </c>
      <c r="H86" s="154">
        <v>431699</v>
      </c>
      <c r="I86" s="154">
        <v>0</v>
      </c>
      <c r="J86" s="154">
        <v>23352</v>
      </c>
      <c r="K86" s="154">
        <v>23352</v>
      </c>
      <c r="L86" s="154">
        <v>455051</v>
      </c>
      <c r="M86" s="154">
        <v>44949</v>
      </c>
      <c r="N86" s="154">
        <v>0</v>
      </c>
      <c r="O86" s="154">
        <v>0</v>
      </c>
      <c r="P86" s="154">
        <v>44949</v>
      </c>
      <c r="Q86" s="154">
        <v>0</v>
      </c>
      <c r="R86" s="154">
        <v>0</v>
      </c>
      <c r="S86" s="154">
        <v>0</v>
      </c>
      <c r="T86" s="154">
        <v>0</v>
      </c>
      <c r="U86" s="154">
        <v>0</v>
      </c>
      <c r="V86" s="154">
        <v>0</v>
      </c>
      <c r="W86" s="154">
        <v>0</v>
      </c>
      <c r="X86" s="154">
        <v>0</v>
      </c>
      <c r="Y86" s="154">
        <v>0</v>
      </c>
      <c r="Z86" s="154">
        <v>0</v>
      </c>
      <c r="AA86" s="154">
        <v>0</v>
      </c>
      <c r="AB86" s="259" t="s">
        <v>1400</v>
      </c>
      <c r="AC86" s="419">
        <v>850000</v>
      </c>
      <c r="AD86" s="157"/>
      <c r="AE86" s="157"/>
      <c r="AF86" s="157"/>
      <c r="AG86" s="157"/>
      <c r="AH86" s="157"/>
      <c r="AI86" s="157"/>
    </row>
    <row r="87" spans="1:39" s="5" customFormat="1" ht="45" customHeight="1">
      <c r="A87" s="153">
        <f t="shared" si="1"/>
        <v>83</v>
      </c>
      <c r="B87" s="153">
        <v>2208</v>
      </c>
      <c r="C87" s="259" t="s">
        <v>548</v>
      </c>
      <c r="D87" s="154">
        <v>12750000</v>
      </c>
      <c r="E87" s="154">
        <v>500000</v>
      </c>
      <c r="F87" s="154">
        <v>12250000</v>
      </c>
      <c r="G87" s="154">
        <v>500000</v>
      </c>
      <c r="H87" s="154">
        <v>0</v>
      </c>
      <c r="I87" s="154">
        <v>0</v>
      </c>
      <c r="J87" s="154">
        <v>124020</v>
      </c>
      <c r="K87" s="154">
        <v>124020</v>
      </c>
      <c r="L87" s="154">
        <v>124020</v>
      </c>
      <c r="M87" s="154">
        <v>375980</v>
      </c>
      <c r="N87" s="154">
        <v>250000</v>
      </c>
      <c r="O87" s="154">
        <v>12000000</v>
      </c>
      <c r="P87" s="154">
        <v>375980</v>
      </c>
      <c r="Q87" s="154">
        <v>0</v>
      </c>
      <c r="R87" s="154">
        <v>0</v>
      </c>
      <c r="S87" s="154">
        <v>0</v>
      </c>
      <c r="T87" s="154">
        <v>0</v>
      </c>
      <c r="U87" s="154">
        <v>250000</v>
      </c>
      <c r="V87" s="154">
        <v>250000</v>
      </c>
      <c r="W87" s="154">
        <v>0</v>
      </c>
      <c r="X87" s="154">
        <v>0</v>
      </c>
      <c r="Y87" s="154">
        <v>0</v>
      </c>
      <c r="Z87" s="154">
        <v>0</v>
      </c>
      <c r="AA87" s="154">
        <v>0</v>
      </c>
      <c r="AB87" s="259" t="s">
        <v>625</v>
      </c>
      <c r="AC87" s="419">
        <v>850000</v>
      </c>
      <c r="AD87" s="157"/>
      <c r="AE87" s="157"/>
      <c r="AF87" s="157"/>
      <c r="AG87" s="157"/>
      <c r="AH87" s="157"/>
      <c r="AI87" s="157"/>
    </row>
    <row r="88" spans="1:39" s="5" customFormat="1" ht="45" customHeight="1">
      <c r="A88" s="153">
        <f t="shared" si="1"/>
        <v>84</v>
      </c>
      <c r="B88" s="153">
        <v>2209</v>
      </c>
      <c r="C88" s="259" t="s">
        <v>549</v>
      </c>
      <c r="D88" s="154">
        <v>46500000</v>
      </c>
      <c r="E88" s="154">
        <v>46500000</v>
      </c>
      <c r="F88" s="154">
        <v>0</v>
      </c>
      <c r="G88" s="154">
        <v>500000</v>
      </c>
      <c r="H88" s="154">
        <v>384569</v>
      </c>
      <c r="I88" s="154">
        <v>0</v>
      </c>
      <c r="J88" s="154">
        <v>95673</v>
      </c>
      <c r="K88" s="154">
        <v>95673</v>
      </c>
      <c r="L88" s="154">
        <v>480242</v>
      </c>
      <c r="M88" s="154">
        <v>1019758</v>
      </c>
      <c r="N88" s="154">
        <v>0</v>
      </c>
      <c r="O88" s="154">
        <v>45000000</v>
      </c>
      <c r="P88" s="154">
        <v>19758</v>
      </c>
      <c r="Q88" s="154">
        <v>1000000</v>
      </c>
      <c r="R88" s="154">
        <v>0</v>
      </c>
      <c r="S88" s="154">
        <v>1000000</v>
      </c>
      <c r="T88" s="154">
        <v>0</v>
      </c>
      <c r="U88" s="154">
        <v>0</v>
      </c>
      <c r="V88" s="154">
        <v>0</v>
      </c>
      <c r="W88" s="154">
        <v>0</v>
      </c>
      <c r="X88" s="154">
        <v>0</v>
      </c>
      <c r="Y88" s="154">
        <v>0</v>
      </c>
      <c r="Z88" s="154">
        <v>0</v>
      </c>
      <c r="AA88" s="154">
        <v>0</v>
      </c>
      <c r="AB88" s="259" t="s">
        <v>1299</v>
      </c>
      <c r="AC88" s="3">
        <v>810000</v>
      </c>
      <c r="AD88" s="157"/>
      <c r="AE88" s="157"/>
      <c r="AF88" s="157"/>
      <c r="AG88" s="157"/>
      <c r="AH88" s="157"/>
      <c r="AI88" s="157"/>
    </row>
    <row r="89" spans="1:39" s="383" customFormat="1" ht="45" customHeight="1">
      <c r="A89" s="153">
        <f t="shared" si="1"/>
        <v>85</v>
      </c>
      <c r="B89" s="153">
        <v>2213</v>
      </c>
      <c r="C89" s="259" t="s">
        <v>508</v>
      </c>
      <c r="D89" s="154">
        <v>7100000</v>
      </c>
      <c r="E89" s="154">
        <v>7100000</v>
      </c>
      <c r="F89" s="154">
        <v>0</v>
      </c>
      <c r="G89" s="154">
        <v>7100000</v>
      </c>
      <c r="H89" s="154">
        <v>14882</v>
      </c>
      <c r="I89" s="154">
        <v>109137</v>
      </c>
      <c r="J89" s="154">
        <v>124020</v>
      </c>
      <c r="K89" s="154">
        <v>233157</v>
      </c>
      <c r="L89" s="154">
        <v>248039</v>
      </c>
      <c r="M89" s="154">
        <v>6851961</v>
      </c>
      <c r="N89" s="154">
        <v>0</v>
      </c>
      <c r="O89" s="154">
        <v>0</v>
      </c>
      <c r="P89" s="154">
        <v>6851961</v>
      </c>
      <c r="Q89" s="154">
        <v>0</v>
      </c>
      <c r="R89" s="154">
        <v>0</v>
      </c>
      <c r="S89" s="154">
        <v>0</v>
      </c>
      <c r="T89" s="154">
        <v>0</v>
      </c>
      <c r="U89" s="154">
        <v>0</v>
      </c>
      <c r="V89" s="154">
        <v>0</v>
      </c>
      <c r="W89" s="154">
        <v>0</v>
      </c>
      <c r="X89" s="154">
        <v>0</v>
      </c>
      <c r="Y89" s="154">
        <v>0</v>
      </c>
      <c r="Z89" s="154">
        <v>0</v>
      </c>
      <c r="AA89" s="154">
        <v>0</v>
      </c>
      <c r="AB89" s="259" t="s">
        <v>1300</v>
      </c>
      <c r="AC89" s="3">
        <v>870000</v>
      </c>
      <c r="AD89" s="157"/>
      <c r="AE89" s="157"/>
      <c r="AF89" s="157"/>
      <c r="AG89" s="157"/>
      <c r="AH89" s="157"/>
      <c r="AI89" s="157"/>
    </row>
    <row r="90" spans="1:39" s="5" customFormat="1" ht="45" customHeight="1">
      <c r="A90" s="153">
        <f t="shared" si="1"/>
        <v>86</v>
      </c>
      <c r="B90" s="153">
        <v>2220</v>
      </c>
      <c r="C90" s="259" t="s">
        <v>524</v>
      </c>
      <c r="D90" s="154">
        <v>2200000</v>
      </c>
      <c r="E90" s="154">
        <v>1000000</v>
      </c>
      <c r="F90" s="154">
        <v>1200000</v>
      </c>
      <c r="G90" s="154">
        <v>50000</v>
      </c>
      <c r="H90" s="154">
        <v>9170</v>
      </c>
      <c r="I90" s="154">
        <v>0</v>
      </c>
      <c r="J90" s="154">
        <v>40437</v>
      </c>
      <c r="K90" s="154">
        <v>40437</v>
      </c>
      <c r="L90" s="154">
        <v>49607</v>
      </c>
      <c r="M90" s="154">
        <v>950393</v>
      </c>
      <c r="N90" s="154">
        <v>1200000</v>
      </c>
      <c r="O90" s="154">
        <v>0</v>
      </c>
      <c r="P90" s="154">
        <v>393</v>
      </c>
      <c r="Q90" s="154">
        <v>950000</v>
      </c>
      <c r="R90" s="154">
        <v>0</v>
      </c>
      <c r="S90" s="154">
        <v>950000</v>
      </c>
      <c r="T90" s="154">
        <v>0</v>
      </c>
      <c r="U90" s="154">
        <v>1200000</v>
      </c>
      <c r="V90" s="154">
        <v>1200000</v>
      </c>
      <c r="W90" s="154">
        <v>0</v>
      </c>
      <c r="X90" s="154">
        <v>0</v>
      </c>
      <c r="Y90" s="154">
        <v>0</v>
      </c>
      <c r="Z90" s="154">
        <v>0</v>
      </c>
      <c r="AA90" s="154">
        <v>0</v>
      </c>
      <c r="AB90" s="259" t="s">
        <v>795</v>
      </c>
      <c r="AC90" s="3">
        <v>746000</v>
      </c>
      <c r="AD90" s="157"/>
      <c r="AE90" s="157"/>
      <c r="AF90" s="157"/>
      <c r="AG90" s="157"/>
      <c r="AH90" s="157"/>
      <c r="AI90" s="157"/>
    </row>
    <row r="91" spans="1:39" s="5" customFormat="1" ht="45" customHeight="1">
      <c r="A91" s="153">
        <f t="shared" si="1"/>
        <v>87</v>
      </c>
      <c r="B91" s="153">
        <v>2232</v>
      </c>
      <c r="C91" s="259" t="s">
        <v>676</v>
      </c>
      <c r="D91" s="154">
        <v>17200000</v>
      </c>
      <c r="E91" s="154">
        <v>17200000</v>
      </c>
      <c r="F91" s="154">
        <v>0</v>
      </c>
      <c r="G91" s="154">
        <v>500000</v>
      </c>
      <c r="H91" s="154">
        <v>403686</v>
      </c>
      <c r="I91" s="154">
        <v>0</v>
      </c>
      <c r="J91" s="154">
        <v>92394</v>
      </c>
      <c r="K91" s="154">
        <v>92394</v>
      </c>
      <c r="L91" s="154">
        <v>496080</v>
      </c>
      <c r="M91" s="154">
        <v>3920</v>
      </c>
      <c r="N91" s="154">
        <v>100000</v>
      </c>
      <c r="O91" s="154">
        <v>16600000</v>
      </c>
      <c r="P91" s="154">
        <v>3920</v>
      </c>
      <c r="Q91" s="154">
        <v>0</v>
      </c>
      <c r="R91" s="154">
        <v>0</v>
      </c>
      <c r="S91" s="154">
        <v>0</v>
      </c>
      <c r="T91" s="154">
        <v>0</v>
      </c>
      <c r="U91" s="154">
        <v>100000</v>
      </c>
      <c r="V91" s="154">
        <v>100000</v>
      </c>
      <c r="W91" s="154">
        <v>0</v>
      </c>
      <c r="X91" s="154">
        <v>0</v>
      </c>
      <c r="Y91" s="154">
        <v>0</v>
      </c>
      <c r="Z91" s="154">
        <v>0</v>
      </c>
      <c r="AA91" s="154">
        <v>0</v>
      </c>
      <c r="AB91" s="259" t="s">
        <v>1301</v>
      </c>
      <c r="AC91" s="3">
        <v>745000</v>
      </c>
      <c r="AD91" s="157"/>
      <c r="AE91" s="157"/>
      <c r="AF91" s="157"/>
      <c r="AG91" s="157"/>
      <c r="AH91" s="157"/>
      <c r="AI91" s="157"/>
    </row>
    <row r="92" spans="1:39" s="5" customFormat="1" ht="45" customHeight="1">
      <c r="A92" s="153">
        <f t="shared" si="1"/>
        <v>88</v>
      </c>
      <c r="B92" s="153">
        <v>2233</v>
      </c>
      <c r="C92" s="259" t="s">
        <v>677</v>
      </c>
      <c r="D92" s="154">
        <v>20250000</v>
      </c>
      <c r="E92" s="154">
        <v>20250000</v>
      </c>
      <c r="F92" s="154">
        <v>0</v>
      </c>
      <c r="G92" s="154">
        <v>500000</v>
      </c>
      <c r="H92" s="154">
        <v>176542</v>
      </c>
      <c r="I92" s="154">
        <v>0</v>
      </c>
      <c r="J92" s="154">
        <v>133508</v>
      </c>
      <c r="K92" s="154">
        <v>133508</v>
      </c>
      <c r="L92" s="154">
        <v>310050</v>
      </c>
      <c r="M92" s="154">
        <v>189950</v>
      </c>
      <c r="N92" s="154">
        <v>0</v>
      </c>
      <c r="O92" s="154">
        <v>19750000</v>
      </c>
      <c r="P92" s="154">
        <v>189950</v>
      </c>
      <c r="Q92" s="154">
        <v>0</v>
      </c>
      <c r="R92" s="154">
        <v>0</v>
      </c>
      <c r="S92" s="154">
        <v>0</v>
      </c>
      <c r="T92" s="154">
        <v>0</v>
      </c>
      <c r="U92" s="154">
        <v>0</v>
      </c>
      <c r="V92" s="154">
        <v>0</v>
      </c>
      <c r="W92" s="154">
        <v>0</v>
      </c>
      <c r="X92" s="154">
        <v>0</v>
      </c>
      <c r="Y92" s="154">
        <v>0</v>
      </c>
      <c r="Z92" s="154">
        <v>0</v>
      </c>
      <c r="AA92" s="154">
        <v>0</v>
      </c>
      <c r="AB92" s="259" t="s">
        <v>1302</v>
      </c>
      <c r="AC92" s="3">
        <v>745000</v>
      </c>
      <c r="AD92" s="157"/>
      <c r="AE92" s="157"/>
      <c r="AF92" s="157"/>
      <c r="AG92" s="157"/>
      <c r="AH92" s="157"/>
      <c r="AI92" s="157"/>
    </row>
    <row r="93" spans="1:39" s="5" customFormat="1" ht="55.2">
      <c r="A93" s="3">
        <f t="shared" si="1"/>
        <v>89</v>
      </c>
      <c r="B93" s="153">
        <v>20004</v>
      </c>
      <c r="C93" s="259" t="s">
        <v>690</v>
      </c>
      <c r="D93" s="154">
        <v>24750000</v>
      </c>
      <c r="E93" s="154">
        <v>24750000</v>
      </c>
      <c r="F93" s="154">
        <v>0</v>
      </c>
      <c r="G93" s="154">
        <v>0</v>
      </c>
      <c r="H93" s="154">
        <v>0</v>
      </c>
      <c r="I93" s="154">
        <v>0</v>
      </c>
      <c r="J93" s="154">
        <v>0</v>
      </c>
      <c r="K93" s="154">
        <v>0</v>
      </c>
      <c r="L93" s="154">
        <v>0</v>
      </c>
      <c r="M93" s="154">
        <v>250000</v>
      </c>
      <c r="N93" s="154">
        <v>0</v>
      </c>
      <c r="O93" s="154">
        <v>24500000</v>
      </c>
      <c r="P93" s="154">
        <v>0</v>
      </c>
      <c r="Q93" s="154">
        <v>250000</v>
      </c>
      <c r="R93" s="154">
        <v>0</v>
      </c>
      <c r="S93" s="154">
        <v>250000</v>
      </c>
      <c r="T93" s="154">
        <v>0</v>
      </c>
      <c r="U93" s="154">
        <v>0</v>
      </c>
      <c r="V93" s="154">
        <v>0</v>
      </c>
      <c r="W93" s="154">
        <v>0</v>
      </c>
      <c r="X93" s="154">
        <v>0</v>
      </c>
      <c r="Y93" s="154">
        <v>0</v>
      </c>
      <c r="Z93" s="154">
        <v>0</v>
      </c>
      <c r="AA93" s="154">
        <v>0</v>
      </c>
      <c r="AB93" s="259" t="s">
        <v>1303</v>
      </c>
      <c r="AC93" s="3">
        <v>742000</v>
      </c>
      <c r="AD93" s="157"/>
      <c r="AE93" s="157"/>
      <c r="AF93" s="157"/>
      <c r="AG93" s="157"/>
      <c r="AH93" s="299"/>
      <c r="AI93" s="299"/>
      <c r="AJ93" s="299"/>
      <c r="AK93" s="27"/>
      <c r="AL93" s="27"/>
      <c r="AM93" s="27"/>
    </row>
    <row r="94" spans="1:39" s="5" customFormat="1" ht="45" customHeight="1">
      <c r="A94" s="3">
        <f t="shared" si="1"/>
        <v>90</v>
      </c>
      <c r="B94" s="153">
        <v>20010</v>
      </c>
      <c r="C94" s="259" t="s">
        <v>752</v>
      </c>
      <c r="D94" s="154">
        <v>7000000</v>
      </c>
      <c r="E94" s="154">
        <v>7000000</v>
      </c>
      <c r="F94" s="154">
        <v>0</v>
      </c>
      <c r="G94" s="154">
        <v>0</v>
      </c>
      <c r="H94" s="154">
        <v>0</v>
      </c>
      <c r="I94" s="154">
        <v>0</v>
      </c>
      <c r="J94" s="154">
        <v>0</v>
      </c>
      <c r="K94" s="154">
        <v>0</v>
      </c>
      <c r="L94" s="154">
        <v>0</v>
      </c>
      <c r="M94" s="154">
        <v>500000</v>
      </c>
      <c r="N94" s="154">
        <v>0</v>
      </c>
      <c r="O94" s="154">
        <v>6500000</v>
      </c>
      <c r="P94" s="154">
        <v>0</v>
      </c>
      <c r="Q94" s="154">
        <v>500000</v>
      </c>
      <c r="R94" s="154">
        <v>0</v>
      </c>
      <c r="S94" s="154">
        <v>500000</v>
      </c>
      <c r="T94" s="154">
        <v>0</v>
      </c>
      <c r="U94" s="154">
        <v>0</v>
      </c>
      <c r="V94" s="154">
        <v>0</v>
      </c>
      <c r="W94" s="154">
        <v>0</v>
      </c>
      <c r="X94" s="154">
        <v>0</v>
      </c>
      <c r="Y94" s="154">
        <v>0</v>
      </c>
      <c r="Z94" s="154">
        <v>0</v>
      </c>
      <c r="AA94" s="154">
        <v>0</v>
      </c>
      <c r="AB94" s="259" t="s">
        <v>821</v>
      </c>
      <c r="AC94" s="3">
        <v>810000</v>
      </c>
      <c r="AD94" s="157"/>
      <c r="AE94" s="157"/>
      <c r="AF94" s="157"/>
      <c r="AG94" s="157"/>
      <c r="AH94" s="157"/>
      <c r="AI94" s="157"/>
    </row>
    <row r="95" spans="1:39" s="5" customFormat="1" ht="45" customHeight="1">
      <c r="A95" s="153">
        <f t="shared" si="1"/>
        <v>91</v>
      </c>
      <c r="B95" s="153">
        <v>20011</v>
      </c>
      <c r="C95" s="259" t="s">
        <v>753</v>
      </c>
      <c r="D95" s="154">
        <v>18500000</v>
      </c>
      <c r="E95" s="154">
        <v>18500000</v>
      </c>
      <c r="F95" s="154">
        <v>0</v>
      </c>
      <c r="G95" s="154">
        <v>200000</v>
      </c>
      <c r="H95" s="154">
        <v>59530</v>
      </c>
      <c r="I95" s="154">
        <v>0</v>
      </c>
      <c r="J95" s="154">
        <v>64490</v>
      </c>
      <c r="K95" s="154">
        <v>64490</v>
      </c>
      <c r="L95" s="154">
        <v>124020</v>
      </c>
      <c r="M95" s="154">
        <v>375980</v>
      </c>
      <c r="N95" s="154">
        <v>500000</v>
      </c>
      <c r="O95" s="154">
        <v>17500000</v>
      </c>
      <c r="P95" s="154">
        <v>75980</v>
      </c>
      <c r="Q95" s="154">
        <v>300000</v>
      </c>
      <c r="R95" s="154">
        <v>0</v>
      </c>
      <c r="S95" s="154">
        <v>300000</v>
      </c>
      <c r="T95" s="154">
        <v>0</v>
      </c>
      <c r="U95" s="154">
        <v>500000</v>
      </c>
      <c r="V95" s="154">
        <v>500000</v>
      </c>
      <c r="W95" s="154">
        <v>0</v>
      </c>
      <c r="X95" s="154">
        <v>0</v>
      </c>
      <c r="Y95" s="154">
        <v>0</v>
      </c>
      <c r="Z95" s="154">
        <v>0</v>
      </c>
      <c r="AA95" s="154">
        <v>0</v>
      </c>
      <c r="AB95" s="259" t="s">
        <v>788</v>
      </c>
      <c r="AC95" s="3">
        <v>810000</v>
      </c>
      <c r="AD95" s="157"/>
      <c r="AE95" s="157"/>
      <c r="AF95" s="157"/>
      <c r="AG95" s="157"/>
      <c r="AH95" s="157"/>
      <c r="AI95" s="157"/>
    </row>
    <row r="96" spans="1:39" s="5" customFormat="1" ht="45" customHeight="1">
      <c r="A96" s="153">
        <f t="shared" si="1"/>
        <v>92</v>
      </c>
      <c r="B96" s="153">
        <v>20013</v>
      </c>
      <c r="C96" s="259" t="s">
        <v>909</v>
      </c>
      <c r="D96" s="154">
        <v>1000000</v>
      </c>
      <c r="E96" s="154">
        <v>500000</v>
      </c>
      <c r="F96" s="154">
        <v>500000</v>
      </c>
      <c r="G96" s="154">
        <v>150000</v>
      </c>
      <c r="H96" s="154">
        <v>8393</v>
      </c>
      <c r="I96" s="154">
        <v>0</v>
      </c>
      <c r="J96" s="154">
        <v>115627</v>
      </c>
      <c r="K96" s="154">
        <v>115627</v>
      </c>
      <c r="L96" s="154">
        <v>124020</v>
      </c>
      <c r="M96" s="154">
        <v>25980</v>
      </c>
      <c r="N96" s="154">
        <v>850000</v>
      </c>
      <c r="O96" s="154">
        <v>0</v>
      </c>
      <c r="P96" s="154">
        <v>25980</v>
      </c>
      <c r="Q96" s="154">
        <v>0</v>
      </c>
      <c r="R96" s="154">
        <v>0</v>
      </c>
      <c r="S96" s="154">
        <v>0</v>
      </c>
      <c r="T96" s="154">
        <v>0</v>
      </c>
      <c r="U96" s="154">
        <v>850000</v>
      </c>
      <c r="V96" s="154">
        <v>850000</v>
      </c>
      <c r="W96" s="154">
        <v>0</v>
      </c>
      <c r="X96" s="154">
        <v>0</v>
      </c>
      <c r="Y96" s="154">
        <v>0</v>
      </c>
      <c r="Z96" s="154">
        <v>0</v>
      </c>
      <c r="AA96" s="154">
        <v>0</v>
      </c>
      <c r="AB96" s="259" t="s">
        <v>790</v>
      </c>
      <c r="AC96" s="3">
        <v>810000</v>
      </c>
      <c r="AD96" s="157"/>
      <c r="AE96" s="157"/>
      <c r="AF96" s="157"/>
      <c r="AG96" s="157"/>
      <c r="AH96" s="157"/>
      <c r="AI96" s="157"/>
    </row>
    <row r="97" spans="1:39" s="5" customFormat="1" ht="55.2">
      <c r="A97" s="153">
        <f t="shared" si="1"/>
        <v>93</v>
      </c>
      <c r="B97" s="153">
        <v>20014</v>
      </c>
      <c r="C97" s="259" t="s">
        <v>1359</v>
      </c>
      <c r="D97" s="154">
        <v>800000</v>
      </c>
      <c r="E97" s="154">
        <v>200000</v>
      </c>
      <c r="F97" s="154">
        <v>600000</v>
      </c>
      <c r="G97" s="154">
        <v>100000</v>
      </c>
      <c r="H97" s="154">
        <v>0</v>
      </c>
      <c r="I97" s="154">
        <v>0</v>
      </c>
      <c r="J97" s="154">
        <v>0</v>
      </c>
      <c r="K97" s="154">
        <v>0</v>
      </c>
      <c r="L97" s="154">
        <v>0</v>
      </c>
      <c r="M97" s="154">
        <v>100000</v>
      </c>
      <c r="N97" s="154">
        <v>200000</v>
      </c>
      <c r="O97" s="154">
        <v>500000</v>
      </c>
      <c r="P97" s="154">
        <v>100000</v>
      </c>
      <c r="Q97" s="154">
        <v>0</v>
      </c>
      <c r="R97" s="154">
        <v>0</v>
      </c>
      <c r="S97" s="154">
        <v>0</v>
      </c>
      <c r="T97" s="154">
        <v>0</v>
      </c>
      <c r="U97" s="154">
        <v>200000</v>
      </c>
      <c r="V97" s="154">
        <v>200000</v>
      </c>
      <c r="W97" s="154">
        <v>0</v>
      </c>
      <c r="X97" s="154">
        <v>0</v>
      </c>
      <c r="Y97" s="154">
        <v>0</v>
      </c>
      <c r="Z97" s="154">
        <v>0</v>
      </c>
      <c r="AA97" s="154">
        <v>0</v>
      </c>
      <c r="AB97" s="259" t="s">
        <v>1304</v>
      </c>
      <c r="AC97" s="3">
        <v>829000</v>
      </c>
      <c r="AD97" s="157"/>
      <c r="AE97" s="157"/>
      <c r="AF97" s="157"/>
      <c r="AG97" s="157"/>
      <c r="AH97" s="157"/>
      <c r="AI97" s="157"/>
    </row>
    <row r="98" spans="1:39" s="5" customFormat="1" ht="45" customHeight="1">
      <c r="A98" s="153">
        <f t="shared" si="1"/>
        <v>94</v>
      </c>
      <c r="B98" s="153">
        <v>20015</v>
      </c>
      <c r="C98" s="259" t="s">
        <v>756</v>
      </c>
      <c r="D98" s="154">
        <v>2500000</v>
      </c>
      <c r="E98" s="154">
        <v>2000000</v>
      </c>
      <c r="F98" s="154">
        <v>500000</v>
      </c>
      <c r="G98" s="154">
        <v>1100000</v>
      </c>
      <c r="H98" s="154">
        <v>286195</v>
      </c>
      <c r="I98" s="154">
        <v>0</v>
      </c>
      <c r="J98" s="154">
        <v>50950</v>
      </c>
      <c r="K98" s="154">
        <v>50950</v>
      </c>
      <c r="L98" s="154">
        <v>337145</v>
      </c>
      <c r="M98" s="154">
        <v>1662855</v>
      </c>
      <c r="N98" s="154">
        <v>500000</v>
      </c>
      <c r="O98" s="154">
        <v>0</v>
      </c>
      <c r="P98" s="154">
        <v>762855</v>
      </c>
      <c r="Q98" s="154">
        <v>400000</v>
      </c>
      <c r="R98" s="154">
        <v>500000</v>
      </c>
      <c r="S98" s="154">
        <v>900000</v>
      </c>
      <c r="T98" s="154">
        <v>0</v>
      </c>
      <c r="U98" s="154">
        <v>500000</v>
      </c>
      <c r="V98" s="154">
        <v>500000</v>
      </c>
      <c r="W98" s="154">
        <v>0</v>
      </c>
      <c r="X98" s="154">
        <v>0</v>
      </c>
      <c r="Y98" s="154">
        <v>0</v>
      </c>
      <c r="Z98" s="154">
        <v>0</v>
      </c>
      <c r="AA98" s="154">
        <v>0</v>
      </c>
      <c r="AB98" s="259" t="s">
        <v>805</v>
      </c>
      <c r="AC98" s="3">
        <v>829000</v>
      </c>
      <c r="AD98" s="157"/>
      <c r="AE98" s="157"/>
      <c r="AF98" s="157"/>
      <c r="AG98" s="157"/>
      <c r="AH98" s="157"/>
      <c r="AI98" s="157"/>
    </row>
    <row r="99" spans="1:39" s="5" customFormat="1" ht="45" customHeight="1">
      <c r="A99" s="153">
        <f t="shared" si="1"/>
        <v>95</v>
      </c>
      <c r="B99" s="153">
        <v>20016</v>
      </c>
      <c r="C99" s="259" t="s">
        <v>802</v>
      </c>
      <c r="D99" s="154">
        <v>1000000</v>
      </c>
      <c r="E99" s="154">
        <v>700000</v>
      </c>
      <c r="F99" s="154">
        <v>300000</v>
      </c>
      <c r="G99" s="154">
        <v>150000</v>
      </c>
      <c r="H99" s="154">
        <v>13950</v>
      </c>
      <c r="I99" s="154">
        <v>0</v>
      </c>
      <c r="J99" s="154">
        <v>110070</v>
      </c>
      <c r="K99" s="154">
        <v>110070</v>
      </c>
      <c r="L99" s="154">
        <v>124020</v>
      </c>
      <c r="M99" s="154">
        <v>375980</v>
      </c>
      <c r="N99" s="154">
        <v>500000</v>
      </c>
      <c r="O99" s="154">
        <v>0</v>
      </c>
      <c r="P99" s="154">
        <v>25980</v>
      </c>
      <c r="Q99" s="154">
        <v>350000</v>
      </c>
      <c r="R99" s="154">
        <v>0</v>
      </c>
      <c r="S99" s="154">
        <v>350000</v>
      </c>
      <c r="T99" s="154">
        <v>0</v>
      </c>
      <c r="U99" s="154">
        <v>500000</v>
      </c>
      <c r="V99" s="154">
        <v>500000</v>
      </c>
      <c r="W99" s="154">
        <v>0</v>
      </c>
      <c r="X99" s="154">
        <v>0</v>
      </c>
      <c r="Y99" s="154">
        <v>0</v>
      </c>
      <c r="Z99" s="154">
        <v>0</v>
      </c>
      <c r="AA99" s="154">
        <v>0</v>
      </c>
      <c r="AB99" s="259" t="s">
        <v>799</v>
      </c>
      <c r="AC99" s="3">
        <v>826000</v>
      </c>
      <c r="AD99" s="157"/>
      <c r="AE99" s="157"/>
      <c r="AF99" s="157"/>
      <c r="AG99" s="157"/>
      <c r="AH99" s="157"/>
      <c r="AI99" s="157"/>
    </row>
    <row r="100" spans="1:39" s="5" customFormat="1" ht="45" customHeight="1">
      <c r="A100" s="153">
        <f t="shared" si="1"/>
        <v>96</v>
      </c>
      <c r="B100" s="153">
        <v>20017</v>
      </c>
      <c r="C100" s="259" t="s">
        <v>1360</v>
      </c>
      <c r="D100" s="154">
        <v>10000000</v>
      </c>
      <c r="E100" s="154">
        <v>10000000</v>
      </c>
      <c r="F100" s="154">
        <v>0</v>
      </c>
      <c r="G100" s="154">
        <v>350000</v>
      </c>
      <c r="H100" s="154">
        <v>28649</v>
      </c>
      <c r="I100" s="154">
        <v>0</v>
      </c>
      <c r="J100" s="154">
        <v>95371</v>
      </c>
      <c r="K100" s="154">
        <v>95371</v>
      </c>
      <c r="L100" s="154">
        <v>124020</v>
      </c>
      <c r="M100" s="154">
        <v>225980</v>
      </c>
      <c r="N100" s="154">
        <v>2000000</v>
      </c>
      <c r="O100" s="154">
        <v>7650000</v>
      </c>
      <c r="P100" s="154">
        <v>225980</v>
      </c>
      <c r="Q100" s="154">
        <v>0</v>
      </c>
      <c r="R100" s="154">
        <v>0</v>
      </c>
      <c r="S100" s="154">
        <v>0</v>
      </c>
      <c r="T100" s="154">
        <v>0</v>
      </c>
      <c r="U100" s="154">
        <v>2000000</v>
      </c>
      <c r="V100" s="154">
        <v>2000000</v>
      </c>
      <c r="W100" s="154">
        <v>0</v>
      </c>
      <c r="X100" s="154">
        <v>0</v>
      </c>
      <c r="Y100" s="154">
        <v>0</v>
      </c>
      <c r="Z100" s="154">
        <v>0</v>
      </c>
      <c r="AA100" s="154">
        <v>0</v>
      </c>
      <c r="AB100" s="259" t="s">
        <v>911</v>
      </c>
      <c r="AC100" s="3">
        <v>850000</v>
      </c>
      <c r="AD100" s="157"/>
      <c r="AE100" s="157"/>
      <c r="AF100" s="157"/>
      <c r="AG100" s="157"/>
      <c r="AH100" s="157"/>
      <c r="AI100" s="157"/>
    </row>
    <row r="101" spans="1:39" s="5" customFormat="1" ht="45" customHeight="1">
      <c r="A101" s="153">
        <f t="shared" si="1"/>
        <v>97</v>
      </c>
      <c r="B101" s="153">
        <v>20018</v>
      </c>
      <c r="C101" s="259" t="s">
        <v>800</v>
      </c>
      <c r="D101" s="154">
        <v>1000000</v>
      </c>
      <c r="E101" s="154">
        <v>1000000</v>
      </c>
      <c r="F101" s="154">
        <v>0</v>
      </c>
      <c r="G101" s="154">
        <v>150000</v>
      </c>
      <c r="H101" s="154">
        <v>57992</v>
      </c>
      <c r="I101" s="154">
        <v>0</v>
      </c>
      <c r="J101" s="154">
        <v>66028</v>
      </c>
      <c r="K101" s="154">
        <v>66028</v>
      </c>
      <c r="L101" s="154">
        <v>124020</v>
      </c>
      <c r="M101" s="154">
        <v>875980</v>
      </c>
      <c r="N101" s="154">
        <v>0</v>
      </c>
      <c r="O101" s="154">
        <v>0</v>
      </c>
      <c r="P101" s="154">
        <v>25980</v>
      </c>
      <c r="Q101" s="154">
        <v>0</v>
      </c>
      <c r="R101" s="154">
        <v>850000</v>
      </c>
      <c r="S101" s="154">
        <v>850000</v>
      </c>
      <c r="T101" s="154">
        <v>0</v>
      </c>
      <c r="U101" s="154">
        <v>0</v>
      </c>
      <c r="V101" s="154">
        <v>0</v>
      </c>
      <c r="W101" s="154">
        <v>0</v>
      </c>
      <c r="X101" s="154">
        <v>0</v>
      </c>
      <c r="Y101" s="154">
        <v>0</v>
      </c>
      <c r="Z101" s="154">
        <v>0</v>
      </c>
      <c r="AA101" s="154">
        <v>0</v>
      </c>
      <c r="AB101" s="259" t="s">
        <v>801</v>
      </c>
      <c r="AC101" s="3">
        <v>826000</v>
      </c>
      <c r="AD101" s="157"/>
      <c r="AE101" s="157"/>
      <c r="AF101" s="157"/>
      <c r="AG101" s="157"/>
      <c r="AH101" s="157"/>
      <c r="AI101" s="157"/>
    </row>
    <row r="102" spans="1:39" s="383" customFormat="1" ht="45" customHeight="1">
      <c r="A102" s="153">
        <f t="shared" si="1"/>
        <v>98</v>
      </c>
      <c r="B102" s="153">
        <v>20024</v>
      </c>
      <c r="C102" s="259" t="s">
        <v>867</v>
      </c>
      <c r="D102" s="154">
        <v>1130000</v>
      </c>
      <c r="E102" s="154">
        <v>1300000</v>
      </c>
      <c r="F102" s="154">
        <v>-170000</v>
      </c>
      <c r="G102" s="154">
        <v>1130000</v>
      </c>
      <c r="H102" s="154">
        <v>532530</v>
      </c>
      <c r="I102" s="154">
        <v>0</v>
      </c>
      <c r="J102" s="154">
        <v>211588</v>
      </c>
      <c r="K102" s="154">
        <v>211588</v>
      </c>
      <c r="L102" s="154">
        <v>744118</v>
      </c>
      <c r="M102" s="154">
        <v>385882</v>
      </c>
      <c r="N102" s="154">
        <v>0</v>
      </c>
      <c r="O102" s="154">
        <v>0</v>
      </c>
      <c r="P102" s="154">
        <v>385882</v>
      </c>
      <c r="Q102" s="154">
        <v>0</v>
      </c>
      <c r="R102" s="154">
        <v>0</v>
      </c>
      <c r="S102" s="154">
        <v>0</v>
      </c>
      <c r="T102" s="154">
        <v>0</v>
      </c>
      <c r="U102" s="154">
        <v>0</v>
      </c>
      <c r="V102" s="154">
        <v>0</v>
      </c>
      <c r="W102" s="154">
        <v>0</v>
      </c>
      <c r="X102" s="154">
        <v>0</v>
      </c>
      <c r="Y102" s="154">
        <v>0</v>
      </c>
      <c r="Z102" s="154">
        <v>0</v>
      </c>
      <c r="AA102" s="154">
        <v>0</v>
      </c>
      <c r="AB102" s="259" t="s">
        <v>1305</v>
      </c>
      <c r="AC102" s="3">
        <v>747000</v>
      </c>
      <c r="AD102" s="157"/>
      <c r="AE102" s="157"/>
      <c r="AF102" s="157"/>
      <c r="AG102" s="157"/>
      <c r="AH102" s="157"/>
      <c r="AI102" s="157"/>
    </row>
    <row r="103" spans="1:39" s="383" customFormat="1" ht="110.4">
      <c r="A103" s="153">
        <f t="shared" si="1"/>
        <v>99</v>
      </c>
      <c r="B103" s="153">
        <v>20028</v>
      </c>
      <c r="C103" s="259" t="s">
        <v>797</v>
      </c>
      <c r="D103" s="154">
        <v>620000</v>
      </c>
      <c r="E103" s="154">
        <v>620000</v>
      </c>
      <c r="F103" s="154">
        <v>0</v>
      </c>
      <c r="G103" s="154">
        <v>620000</v>
      </c>
      <c r="H103" s="154">
        <v>20241</v>
      </c>
      <c r="I103" s="154">
        <v>0</v>
      </c>
      <c r="J103" s="154">
        <v>304014</v>
      </c>
      <c r="K103" s="154">
        <v>304014</v>
      </c>
      <c r="L103" s="154">
        <v>324255</v>
      </c>
      <c r="M103" s="154">
        <v>295745</v>
      </c>
      <c r="N103" s="154">
        <v>0</v>
      </c>
      <c r="O103" s="154">
        <v>0</v>
      </c>
      <c r="P103" s="154">
        <v>295745</v>
      </c>
      <c r="Q103" s="154">
        <v>0</v>
      </c>
      <c r="R103" s="154">
        <v>0</v>
      </c>
      <c r="S103" s="154">
        <v>0</v>
      </c>
      <c r="T103" s="154">
        <v>0</v>
      </c>
      <c r="U103" s="154">
        <v>0</v>
      </c>
      <c r="V103" s="154">
        <v>0</v>
      </c>
      <c r="W103" s="154">
        <v>0</v>
      </c>
      <c r="X103" s="154">
        <v>0</v>
      </c>
      <c r="Y103" s="154">
        <v>0</v>
      </c>
      <c r="Z103" s="154">
        <v>0</v>
      </c>
      <c r="AA103" s="154">
        <v>0</v>
      </c>
      <c r="AB103" s="259" t="s">
        <v>757</v>
      </c>
      <c r="AC103" s="3"/>
      <c r="AD103" s="157"/>
      <c r="AE103" s="157"/>
      <c r="AF103" s="157"/>
      <c r="AG103" s="157"/>
      <c r="AH103" s="157"/>
      <c r="AI103" s="157"/>
    </row>
    <row r="104" spans="1:39" s="5" customFormat="1" ht="69">
      <c r="A104" s="153">
        <f t="shared" si="1"/>
        <v>100</v>
      </c>
      <c r="B104" s="153">
        <v>20063</v>
      </c>
      <c r="C104" s="3" t="s">
        <v>1525</v>
      </c>
      <c r="D104" s="154">
        <v>1000000</v>
      </c>
      <c r="E104" s="154">
        <v>0</v>
      </c>
      <c r="F104" s="154">
        <v>1000000</v>
      </c>
      <c r="G104" s="154">
        <v>0</v>
      </c>
      <c r="H104" s="154">
        <v>0</v>
      </c>
      <c r="I104" s="154">
        <v>0</v>
      </c>
      <c r="J104" s="154">
        <v>0</v>
      </c>
      <c r="K104" s="154">
        <v>0</v>
      </c>
      <c r="L104" s="154">
        <v>0</v>
      </c>
      <c r="M104" s="154">
        <v>0</v>
      </c>
      <c r="N104" s="154">
        <v>500000</v>
      </c>
      <c r="O104" s="154">
        <v>500000</v>
      </c>
      <c r="P104" s="154">
        <v>0</v>
      </c>
      <c r="Q104" s="154">
        <v>0</v>
      </c>
      <c r="R104" s="154">
        <v>0</v>
      </c>
      <c r="S104" s="154">
        <v>0</v>
      </c>
      <c r="T104" s="154">
        <v>0</v>
      </c>
      <c r="U104" s="154">
        <v>500000</v>
      </c>
      <c r="V104" s="154">
        <v>500000</v>
      </c>
      <c r="W104" s="154">
        <v>0</v>
      </c>
      <c r="X104" s="154">
        <v>0</v>
      </c>
      <c r="Y104" s="154">
        <v>0</v>
      </c>
      <c r="Z104" s="154">
        <v>0</v>
      </c>
      <c r="AA104" s="154">
        <v>0</v>
      </c>
      <c r="AB104" s="259" t="s">
        <v>1306</v>
      </c>
      <c r="AC104" s="3">
        <v>850000</v>
      </c>
      <c r="AD104" s="157"/>
      <c r="AE104" s="157"/>
      <c r="AF104" s="157"/>
      <c r="AG104" s="157"/>
      <c r="AH104" s="157"/>
      <c r="AI104" s="157"/>
    </row>
    <row r="105" spans="1:39" s="5" customFormat="1" ht="45" customHeight="1">
      <c r="A105" s="153">
        <f t="shared" si="1"/>
        <v>101</v>
      </c>
      <c r="B105" s="153">
        <v>20064</v>
      </c>
      <c r="C105" s="259" t="s">
        <v>1177</v>
      </c>
      <c r="D105" s="154">
        <v>2000000</v>
      </c>
      <c r="E105" s="154">
        <v>0</v>
      </c>
      <c r="F105" s="154">
        <v>2000000</v>
      </c>
      <c r="G105" s="154">
        <v>0</v>
      </c>
      <c r="H105" s="154">
        <v>0</v>
      </c>
      <c r="I105" s="154">
        <v>0</v>
      </c>
      <c r="J105" s="154">
        <v>0</v>
      </c>
      <c r="K105" s="154">
        <v>0</v>
      </c>
      <c r="L105" s="154">
        <v>0</v>
      </c>
      <c r="M105" s="154">
        <v>0</v>
      </c>
      <c r="N105" s="154">
        <v>500000</v>
      </c>
      <c r="O105" s="154">
        <v>1500000</v>
      </c>
      <c r="P105" s="154">
        <v>0</v>
      </c>
      <c r="Q105" s="154">
        <v>0</v>
      </c>
      <c r="R105" s="154">
        <v>0</v>
      </c>
      <c r="S105" s="154">
        <v>0</v>
      </c>
      <c r="T105" s="154">
        <v>0</v>
      </c>
      <c r="U105" s="154">
        <v>500000</v>
      </c>
      <c r="V105" s="154">
        <v>500000</v>
      </c>
      <c r="W105" s="154">
        <v>0</v>
      </c>
      <c r="X105" s="154">
        <v>0</v>
      </c>
      <c r="Y105" s="154">
        <v>0</v>
      </c>
      <c r="Z105" s="154">
        <v>0</v>
      </c>
      <c r="AA105" s="154">
        <v>0</v>
      </c>
      <c r="AB105" s="259" t="s">
        <v>1401</v>
      </c>
      <c r="AC105" s="3">
        <v>732000</v>
      </c>
      <c r="AD105" s="157"/>
      <c r="AE105" s="157"/>
      <c r="AF105" s="157"/>
      <c r="AG105" s="157"/>
      <c r="AH105" s="299"/>
      <c r="AI105" s="299"/>
      <c r="AJ105" s="299"/>
      <c r="AK105" s="27"/>
      <c r="AL105" s="27"/>
      <c r="AM105" s="27"/>
    </row>
    <row r="106" spans="1:39" s="244" customFormat="1" ht="45" customHeight="1">
      <c r="A106" s="159"/>
      <c r="B106" s="243"/>
      <c r="C106" s="159" t="s">
        <v>176</v>
      </c>
      <c r="D106" s="160">
        <v>2438188548</v>
      </c>
      <c r="E106" s="160">
        <v>2290913843</v>
      </c>
      <c r="F106" s="160">
        <v>147274705</v>
      </c>
      <c r="G106" s="160">
        <v>955367092</v>
      </c>
      <c r="H106" s="160">
        <v>725749716</v>
      </c>
      <c r="I106" s="160">
        <v>7701092</v>
      </c>
      <c r="J106" s="160">
        <v>29267714.210000001</v>
      </c>
      <c r="K106" s="160">
        <v>36968806.210000001</v>
      </c>
      <c r="L106" s="160">
        <v>762718522.21000004</v>
      </c>
      <c r="M106" s="160">
        <v>249753592.78999999</v>
      </c>
      <c r="N106" s="160">
        <v>212972948</v>
      </c>
      <c r="O106" s="160">
        <v>1212743485</v>
      </c>
      <c r="P106" s="160">
        <v>192648569.78999999</v>
      </c>
      <c r="Q106" s="160">
        <v>64955023</v>
      </c>
      <c r="R106" s="160">
        <v>6150000</v>
      </c>
      <c r="S106" s="160">
        <v>71105023</v>
      </c>
      <c r="T106" s="160">
        <v>14000000</v>
      </c>
      <c r="U106" s="160">
        <v>198972948</v>
      </c>
      <c r="V106" s="160">
        <v>142856028</v>
      </c>
      <c r="W106" s="160">
        <v>4500000</v>
      </c>
      <c r="X106" s="160">
        <v>0</v>
      </c>
      <c r="Y106" s="160">
        <v>0</v>
      </c>
      <c r="Z106" s="160">
        <v>0</v>
      </c>
      <c r="AA106" s="160">
        <v>51616920</v>
      </c>
      <c r="AB106" s="160">
        <v>0</v>
      </c>
      <c r="AC106" s="160"/>
      <c r="AD106" s="157"/>
      <c r="AE106" s="157"/>
      <c r="AF106" s="157"/>
      <c r="AG106" s="157"/>
      <c r="AH106" s="157"/>
      <c r="AI106" s="157"/>
    </row>
    <row r="107" spans="1:39" s="244" customFormat="1" ht="37.200000000000003" customHeight="1">
      <c r="A107" s="159"/>
      <c r="B107" s="243"/>
      <c r="C107" s="159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54">
        <v>0</v>
      </c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57"/>
      <c r="AE107" s="157"/>
      <c r="AF107" s="157"/>
      <c r="AG107" s="157"/>
      <c r="AH107" s="157"/>
      <c r="AI107" s="157"/>
    </row>
    <row r="108" spans="1:39" s="244" customFormat="1" ht="45" customHeight="1">
      <c r="A108" s="159"/>
      <c r="B108" s="243"/>
      <c r="C108" s="159" t="s">
        <v>131</v>
      </c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54">
        <v>0</v>
      </c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50"/>
      <c r="AC108" s="159"/>
      <c r="AD108" s="157"/>
      <c r="AE108" s="157"/>
      <c r="AF108" s="157"/>
      <c r="AG108" s="157"/>
      <c r="AH108" s="157"/>
      <c r="AI108" s="157"/>
    </row>
    <row r="109" spans="1:39" s="157" customFormat="1" ht="45" customHeight="1">
      <c r="A109" s="153">
        <f>A105+1</f>
        <v>102</v>
      </c>
      <c r="B109" s="153">
        <v>1547</v>
      </c>
      <c r="C109" s="259" t="s">
        <v>421</v>
      </c>
      <c r="D109" s="154">
        <v>144000000</v>
      </c>
      <c r="E109" s="154">
        <v>144000000</v>
      </c>
      <c r="F109" s="154">
        <v>0</v>
      </c>
      <c r="G109" s="154">
        <v>114000000</v>
      </c>
      <c r="H109" s="154">
        <v>105301695</v>
      </c>
      <c r="I109" s="154">
        <v>0</v>
      </c>
      <c r="J109" s="154">
        <v>1077191</v>
      </c>
      <c r="K109" s="154">
        <v>1077191</v>
      </c>
      <c r="L109" s="154">
        <v>106378886</v>
      </c>
      <c r="M109" s="154">
        <v>7621114</v>
      </c>
      <c r="N109" s="154">
        <v>0</v>
      </c>
      <c r="O109" s="154">
        <v>30000000</v>
      </c>
      <c r="P109" s="154">
        <v>7621114</v>
      </c>
      <c r="Q109" s="154">
        <v>0</v>
      </c>
      <c r="R109" s="154">
        <v>0</v>
      </c>
      <c r="S109" s="154">
        <v>0</v>
      </c>
      <c r="T109" s="154">
        <v>0</v>
      </c>
      <c r="U109" s="154">
        <v>0</v>
      </c>
      <c r="V109" s="154">
        <v>0</v>
      </c>
      <c r="W109" s="154">
        <v>0</v>
      </c>
      <c r="X109" s="154">
        <v>0</v>
      </c>
      <c r="Y109" s="154">
        <v>0</v>
      </c>
      <c r="Z109" s="153">
        <v>0</v>
      </c>
      <c r="AA109" s="153">
        <v>0</v>
      </c>
      <c r="AB109" s="259" t="s">
        <v>351</v>
      </c>
      <c r="AC109" s="153">
        <v>742000</v>
      </c>
    </row>
    <row r="110" spans="1:39" ht="45" customHeight="1">
      <c r="A110" s="153">
        <f t="shared" ref="A110:A121" si="2">A109+1</f>
        <v>103</v>
      </c>
      <c r="B110" s="153">
        <v>1827</v>
      </c>
      <c r="C110" s="259" t="s">
        <v>638</v>
      </c>
      <c r="D110" s="154">
        <v>100000000</v>
      </c>
      <c r="E110" s="154">
        <v>100000000</v>
      </c>
      <c r="F110" s="154">
        <v>0</v>
      </c>
      <c r="G110" s="154">
        <v>87320302</v>
      </c>
      <c r="H110" s="154">
        <v>82470616</v>
      </c>
      <c r="I110" s="154">
        <v>0</v>
      </c>
      <c r="J110" s="154">
        <v>1388471</v>
      </c>
      <c r="K110" s="154">
        <v>1388471</v>
      </c>
      <c r="L110" s="154">
        <v>83859087</v>
      </c>
      <c r="M110" s="154">
        <v>3461215</v>
      </c>
      <c r="N110" s="154">
        <v>12679698</v>
      </c>
      <c r="O110" s="154">
        <v>0</v>
      </c>
      <c r="P110" s="154">
        <v>3461215</v>
      </c>
      <c r="Q110" s="154">
        <v>0</v>
      </c>
      <c r="R110" s="154">
        <v>0</v>
      </c>
      <c r="S110" s="154">
        <v>0</v>
      </c>
      <c r="T110" s="154">
        <v>0</v>
      </c>
      <c r="U110" s="154">
        <v>12679698</v>
      </c>
      <c r="V110" s="154">
        <v>12679698</v>
      </c>
      <c r="W110" s="154">
        <v>0</v>
      </c>
      <c r="X110" s="154">
        <v>0</v>
      </c>
      <c r="Y110" s="154">
        <v>0</v>
      </c>
      <c r="Z110" s="153">
        <v>0</v>
      </c>
      <c r="AA110" s="153">
        <v>0</v>
      </c>
      <c r="AB110" s="259" t="s">
        <v>351</v>
      </c>
      <c r="AC110" s="153">
        <v>746000</v>
      </c>
    </row>
    <row r="111" spans="1:39" s="157" customFormat="1" ht="45" customHeight="1">
      <c r="A111" s="153">
        <f t="shared" si="2"/>
        <v>104</v>
      </c>
      <c r="B111" s="153">
        <v>1905</v>
      </c>
      <c r="C111" s="259" t="s">
        <v>107</v>
      </c>
      <c r="D111" s="154">
        <v>3366000</v>
      </c>
      <c r="E111" s="154">
        <v>3366000</v>
      </c>
      <c r="F111" s="154">
        <v>0</v>
      </c>
      <c r="G111" s="154">
        <v>3366000</v>
      </c>
      <c r="H111" s="154">
        <v>0</v>
      </c>
      <c r="I111" s="154">
        <v>0</v>
      </c>
      <c r="J111" s="154">
        <v>0</v>
      </c>
      <c r="K111" s="154">
        <v>0</v>
      </c>
      <c r="L111" s="154">
        <v>0</v>
      </c>
      <c r="M111" s="154">
        <v>3366000</v>
      </c>
      <c r="N111" s="154">
        <v>0</v>
      </c>
      <c r="O111" s="154">
        <v>0</v>
      </c>
      <c r="P111" s="154">
        <v>3366000</v>
      </c>
      <c r="Q111" s="154">
        <v>0</v>
      </c>
      <c r="R111" s="154">
        <v>0</v>
      </c>
      <c r="S111" s="154">
        <v>0</v>
      </c>
      <c r="T111" s="154">
        <v>0</v>
      </c>
      <c r="U111" s="154">
        <v>0</v>
      </c>
      <c r="V111" s="154">
        <v>0</v>
      </c>
      <c r="W111" s="154">
        <v>0</v>
      </c>
      <c r="X111" s="154">
        <v>0</v>
      </c>
      <c r="Y111" s="154">
        <v>0</v>
      </c>
      <c r="Z111" s="153">
        <v>0</v>
      </c>
      <c r="AA111" s="153">
        <v>0</v>
      </c>
      <c r="AB111" s="259" t="s">
        <v>356</v>
      </c>
      <c r="AC111" s="153">
        <v>746000</v>
      </c>
    </row>
    <row r="112" spans="1:39" s="157" customFormat="1" ht="45" customHeight="1">
      <c r="A112" s="153">
        <f t="shared" si="2"/>
        <v>105</v>
      </c>
      <c r="B112" s="153">
        <v>1908</v>
      </c>
      <c r="C112" s="259" t="s">
        <v>121</v>
      </c>
      <c r="D112" s="154">
        <v>19054496</v>
      </c>
      <c r="E112" s="154">
        <v>19054496</v>
      </c>
      <c r="F112" s="154">
        <v>0</v>
      </c>
      <c r="G112" s="154">
        <v>19054496</v>
      </c>
      <c r="H112" s="154">
        <v>17378626</v>
      </c>
      <c r="I112" s="154">
        <v>0</v>
      </c>
      <c r="J112" s="154">
        <v>525248</v>
      </c>
      <c r="K112" s="154">
        <v>525248</v>
      </c>
      <c r="L112" s="154">
        <v>17903874</v>
      </c>
      <c r="M112" s="154">
        <v>1150622</v>
      </c>
      <c r="N112" s="154">
        <v>0</v>
      </c>
      <c r="O112" s="154">
        <v>0</v>
      </c>
      <c r="P112" s="154">
        <v>1150622</v>
      </c>
      <c r="Q112" s="154">
        <v>0</v>
      </c>
      <c r="R112" s="154">
        <v>0</v>
      </c>
      <c r="S112" s="154">
        <v>0</v>
      </c>
      <c r="T112" s="154">
        <v>0</v>
      </c>
      <c r="U112" s="154">
        <v>0</v>
      </c>
      <c r="V112" s="154">
        <v>7432067</v>
      </c>
      <c r="W112" s="154">
        <v>0</v>
      </c>
      <c r="X112" s="154">
        <v>0</v>
      </c>
      <c r="Y112" s="154">
        <v>0</v>
      </c>
      <c r="Z112" s="153">
        <v>0</v>
      </c>
      <c r="AA112" s="154">
        <v>-7432067</v>
      </c>
      <c r="AB112" s="259" t="s">
        <v>1194</v>
      </c>
      <c r="AC112" s="153">
        <v>810000</v>
      </c>
    </row>
    <row r="113" spans="1:35" ht="55.2">
      <c r="A113" s="153">
        <f t="shared" si="2"/>
        <v>106</v>
      </c>
      <c r="B113" s="153">
        <v>1909</v>
      </c>
      <c r="C113" s="259" t="s">
        <v>639</v>
      </c>
      <c r="D113" s="154">
        <v>184500000</v>
      </c>
      <c r="E113" s="154">
        <v>184500000</v>
      </c>
      <c r="F113" s="154">
        <v>0</v>
      </c>
      <c r="G113" s="154">
        <v>118424086</v>
      </c>
      <c r="H113" s="154">
        <v>118000448</v>
      </c>
      <c r="I113" s="154">
        <v>0</v>
      </c>
      <c r="J113" s="154">
        <v>344327</v>
      </c>
      <c r="K113" s="154">
        <v>344327</v>
      </c>
      <c r="L113" s="154">
        <v>118344775</v>
      </c>
      <c r="M113" s="154">
        <v>20079311</v>
      </c>
      <c r="N113" s="154">
        <v>25075914</v>
      </c>
      <c r="O113" s="154">
        <v>21000000</v>
      </c>
      <c r="P113" s="154">
        <v>79311</v>
      </c>
      <c r="Q113" s="154">
        <v>20000000</v>
      </c>
      <c r="R113" s="154">
        <v>0</v>
      </c>
      <c r="S113" s="154">
        <v>20000000</v>
      </c>
      <c r="T113" s="154">
        <v>0</v>
      </c>
      <c r="U113" s="154">
        <v>25075914</v>
      </c>
      <c r="V113" s="154">
        <v>25075914</v>
      </c>
      <c r="W113" s="154">
        <v>0</v>
      </c>
      <c r="X113" s="154">
        <v>0</v>
      </c>
      <c r="Y113" s="154">
        <v>0</v>
      </c>
      <c r="Z113" s="153">
        <v>0</v>
      </c>
      <c r="AA113" s="153">
        <v>0</v>
      </c>
      <c r="AB113" s="259" t="s">
        <v>1479</v>
      </c>
      <c r="AC113" s="153">
        <v>810000</v>
      </c>
    </row>
    <row r="114" spans="1:35" ht="45" customHeight="1">
      <c r="A114" s="153">
        <f t="shared" si="2"/>
        <v>107</v>
      </c>
      <c r="B114" s="153">
        <v>1911</v>
      </c>
      <c r="C114" s="259" t="s">
        <v>280</v>
      </c>
      <c r="D114" s="154">
        <v>27236240</v>
      </c>
      <c r="E114" s="154">
        <v>29050000</v>
      </c>
      <c r="F114" s="154">
        <v>-1813760</v>
      </c>
      <c r="G114" s="154">
        <v>27236240</v>
      </c>
      <c r="H114" s="154">
        <v>25948209</v>
      </c>
      <c r="I114" s="154">
        <v>0</v>
      </c>
      <c r="J114" s="154">
        <v>499979</v>
      </c>
      <c r="K114" s="154">
        <v>499979</v>
      </c>
      <c r="L114" s="154">
        <v>26448188</v>
      </c>
      <c r="M114" s="154">
        <v>788052</v>
      </c>
      <c r="N114" s="154">
        <v>0</v>
      </c>
      <c r="O114" s="154">
        <v>0</v>
      </c>
      <c r="P114" s="154">
        <v>788052</v>
      </c>
      <c r="Q114" s="154">
        <v>0</v>
      </c>
      <c r="R114" s="154">
        <v>0</v>
      </c>
      <c r="S114" s="154">
        <v>0</v>
      </c>
      <c r="T114" s="154">
        <v>0</v>
      </c>
      <c r="U114" s="154">
        <v>0</v>
      </c>
      <c r="V114" s="154">
        <v>7432067</v>
      </c>
      <c r="W114" s="154">
        <v>0</v>
      </c>
      <c r="X114" s="154">
        <v>0</v>
      </c>
      <c r="Y114" s="154">
        <v>0</v>
      </c>
      <c r="Z114" s="153">
        <v>0</v>
      </c>
      <c r="AA114" s="154">
        <v>-7432067</v>
      </c>
      <c r="AB114" s="259" t="s">
        <v>1195</v>
      </c>
      <c r="AC114" s="153">
        <v>810000</v>
      </c>
    </row>
    <row r="115" spans="1:35" ht="69">
      <c r="A115" s="153">
        <f t="shared" si="2"/>
        <v>108</v>
      </c>
      <c r="B115" s="153">
        <v>1912</v>
      </c>
      <c r="C115" s="259" t="s">
        <v>640</v>
      </c>
      <c r="D115" s="154">
        <v>430000000</v>
      </c>
      <c r="E115" s="154">
        <v>310000000</v>
      </c>
      <c r="F115" s="154">
        <v>120000000</v>
      </c>
      <c r="G115" s="154">
        <v>157713073</v>
      </c>
      <c r="H115" s="154">
        <v>153693735</v>
      </c>
      <c r="I115" s="154">
        <v>0</v>
      </c>
      <c r="J115" s="154">
        <v>3174359</v>
      </c>
      <c r="K115" s="154">
        <v>3174359</v>
      </c>
      <c r="L115" s="154">
        <v>156868094</v>
      </c>
      <c r="M115" s="154">
        <v>20844979</v>
      </c>
      <c r="N115" s="154">
        <v>110000000</v>
      </c>
      <c r="O115" s="154">
        <v>142286927</v>
      </c>
      <c r="P115" s="154">
        <v>844979</v>
      </c>
      <c r="Q115" s="154">
        <v>0</v>
      </c>
      <c r="R115" s="154">
        <v>20000000</v>
      </c>
      <c r="S115" s="154">
        <v>20000000</v>
      </c>
      <c r="T115" s="154">
        <v>0</v>
      </c>
      <c r="U115" s="154">
        <v>110000000</v>
      </c>
      <c r="V115" s="154">
        <v>46322608</v>
      </c>
      <c r="W115" s="154">
        <v>20530000</v>
      </c>
      <c r="X115" s="154">
        <v>0</v>
      </c>
      <c r="Y115" s="154">
        <v>866000</v>
      </c>
      <c r="Z115" s="153">
        <v>0</v>
      </c>
      <c r="AA115" s="154">
        <v>42281392</v>
      </c>
      <c r="AB115" s="259" t="s">
        <v>1402</v>
      </c>
      <c r="AC115" s="153">
        <v>810000</v>
      </c>
    </row>
    <row r="116" spans="1:35" ht="45" customHeight="1">
      <c r="A116" s="153">
        <f t="shared" si="2"/>
        <v>109</v>
      </c>
      <c r="B116" s="153">
        <v>1914</v>
      </c>
      <c r="C116" s="259" t="s">
        <v>120</v>
      </c>
      <c r="D116" s="154">
        <v>8100000</v>
      </c>
      <c r="E116" s="154">
        <v>8100000</v>
      </c>
      <c r="F116" s="154">
        <v>0</v>
      </c>
      <c r="G116" s="154">
        <v>8100000</v>
      </c>
      <c r="H116" s="154">
        <v>7471625</v>
      </c>
      <c r="I116" s="154">
        <v>0</v>
      </c>
      <c r="J116" s="154">
        <v>50619</v>
      </c>
      <c r="K116" s="154">
        <v>50619</v>
      </c>
      <c r="L116" s="154">
        <v>7522244</v>
      </c>
      <c r="M116" s="154">
        <v>577756</v>
      </c>
      <c r="N116" s="154">
        <v>0</v>
      </c>
      <c r="O116" s="154">
        <v>0</v>
      </c>
      <c r="P116" s="154">
        <v>577756</v>
      </c>
      <c r="Q116" s="154">
        <v>0</v>
      </c>
      <c r="R116" s="154">
        <v>0</v>
      </c>
      <c r="S116" s="154">
        <v>0</v>
      </c>
      <c r="T116" s="154">
        <v>0</v>
      </c>
      <c r="U116" s="154">
        <v>0</v>
      </c>
      <c r="V116" s="154">
        <v>0</v>
      </c>
      <c r="W116" s="154">
        <v>0</v>
      </c>
      <c r="X116" s="154">
        <v>0</v>
      </c>
      <c r="Y116" s="154">
        <v>0</v>
      </c>
      <c r="Z116" s="153">
        <v>0</v>
      </c>
      <c r="AA116" s="153">
        <v>0</v>
      </c>
      <c r="AB116" s="259" t="s">
        <v>1307</v>
      </c>
      <c r="AC116" s="153">
        <v>810000</v>
      </c>
    </row>
    <row r="117" spans="1:35" ht="45" customHeight="1">
      <c r="A117" s="153">
        <f t="shared" si="2"/>
        <v>110</v>
      </c>
      <c r="B117" s="153">
        <v>1919</v>
      </c>
      <c r="C117" s="259" t="s">
        <v>110</v>
      </c>
      <c r="D117" s="154">
        <v>135100000</v>
      </c>
      <c r="E117" s="154">
        <v>135100000</v>
      </c>
      <c r="F117" s="154">
        <v>0</v>
      </c>
      <c r="G117" s="154">
        <v>72024834</v>
      </c>
      <c r="H117" s="154">
        <v>57960920</v>
      </c>
      <c r="I117" s="154">
        <v>0</v>
      </c>
      <c r="J117" s="154">
        <v>370261</v>
      </c>
      <c r="K117" s="154">
        <v>370261</v>
      </c>
      <c r="L117" s="154">
        <v>58331181</v>
      </c>
      <c r="M117" s="154">
        <v>13693653</v>
      </c>
      <c r="N117" s="154">
        <v>0</v>
      </c>
      <c r="O117" s="154">
        <v>63075166</v>
      </c>
      <c r="P117" s="154">
        <v>13693653</v>
      </c>
      <c r="Q117" s="154">
        <v>0</v>
      </c>
      <c r="R117" s="154">
        <v>0</v>
      </c>
      <c r="S117" s="154">
        <v>0</v>
      </c>
      <c r="T117" s="154">
        <v>0</v>
      </c>
      <c r="U117" s="154">
        <v>0</v>
      </c>
      <c r="V117" s="154">
        <v>0</v>
      </c>
      <c r="W117" s="154">
        <v>0</v>
      </c>
      <c r="X117" s="154">
        <v>0</v>
      </c>
      <c r="Y117" s="154">
        <v>0</v>
      </c>
      <c r="Z117" s="153">
        <v>0</v>
      </c>
      <c r="AA117" s="153">
        <v>0</v>
      </c>
      <c r="AB117" s="259" t="s">
        <v>542</v>
      </c>
      <c r="AC117" s="153">
        <v>742000</v>
      </c>
    </row>
    <row r="118" spans="1:35" ht="45" customHeight="1">
      <c r="A118" s="153">
        <f t="shared" si="2"/>
        <v>111</v>
      </c>
      <c r="B118" s="153">
        <v>1960</v>
      </c>
      <c r="C118" s="259" t="s">
        <v>281</v>
      </c>
      <c r="D118" s="154">
        <v>24710000</v>
      </c>
      <c r="E118" s="154">
        <v>24710000</v>
      </c>
      <c r="F118" s="154">
        <v>0</v>
      </c>
      <c r="G118" s="154">
        <v>22421744</v>
      </c>
      <c r="H118" s="154">
        <v>18966010</v>
      </c>
      <c r="I118" s="154">
        <v>0</v>
      </c>
      <c r="J118" s="154">
        <v>1097699</v>
      </c>
      <c r="K118" s="154">
        <v>1097699</v>
      </c>
      <c r="L118" s="154">
        <v>20063709</v>
      </c>
      <c r="M118" s="154">
        <v>2358035</v>
      </c>
      <c r="N118" s="154">
        <v>2288256</v>
      </c>
      <c r="O118" s="154">
        <v>0</v>
      </c>
      <c r="P118" s="154">
        <v>2358035</v>
      </c>
      <c r="Q118" s="154">
        <v>0</v>
      </c>
      <c r="R118" s="154">
        <v>0</v>
      </c>
      <c r="S118" s="154">
        <v>0</v>
      </c>
      <c r="T118" s="154">
        <v>0</v>
      </c>
      <c r="U118" s="154">
        <v>2288256</v>
      </c>
      <c r="V118" s="154">
        <v>2288256</v>
      </c>
      <c r="W118" s="154">
        <v>0</v>
      </c>
      <c r="X118" s="154">
        <v>0</v>
      </c>
      <c r="Y118" s="154">
        <v>0</v>
      </c>
      <c r="Z118" s="153">
        <v>0</v>
      </c>
      <c r="AA118" s="153">
        <v>0</v>
      </c>
      <c r="AB118" s="259" t="s">
        <v>1403</v>
      </c>
      <c r="AC118" s="153">
        <v>810000</v>
      </c>
    </row>
    <row r="119" spans="1:35" ht="45" customHeight="1">
      <c r="A119" s="153">
        <f t="shared" si="2"/>
        <v>112</v>
      </c>
      <c r="B119" s="153">
        <v>1962</v>
      </c>
      <c r="C119" s="259" t="s">
        <v>129</v>
      </c>
      <c r="D119" s="154">
        <v>20000000</v>
      </c>
      <c r="E119" s="154">
        <v>20000000</v>
      </c>
      <c r="F119" s="154">
        <v>0</v>
      </c>
      <c r="G119" s="154">
        <v>1000000</v>
      </c>
      <c r="H119" s="154">
        <v>0</v>
      </c>
      <c r="I119" s="154">
        <v>0</v>
      </c>
      <c r="J119" s="154">
        <v>0</v>
      </c>
      <c r="K119" s="154">
        <v>0</v>
      </c>
      <c r="L119" s="154">
        <v>0</v>
      </c>
      <c r="M119" s="154">
        <v>100000</v>
      </c>
      <c r="N119" s="154">
        <v>0</v>
      </c>
      <c r="O119" s="154">
        <v>19900000</v>
      </c>
      <c r="P119" s="154">
        <v>1000000</v>
      </c>
      <c r="Q119" s="154">
        <v>-900000</v>
      </c>
      <c r="R119" s="154">
        <v>0</v>
      </c>
      <c r="S119" s="154">
        <v>-900000</v>
      </c>
      <c r="T119" s="154">
        <v>0</v>
      </c>
      <c r="U119" s="154">
        <v>0</v>
      </c>
      <c r="V119" s="154">
        <v>0</v>
      </c>
      <c r="W119" s="154">
        <v>0</v>
      </c>
      <c r="X119" s="154">
        <v>0</v>
      </c>
      <c r="Y119" s="154">
        <v>0</v>
      </c>
      <c r="Z119" s="153">
        <v>0</v>
      </c>
      <c r="AA119" s="153">
        <v>0</v>
      </c>
      <c r="AB119" s="259" t="s">
        <v>543</v>
      </c>
      <c r="AC119" s="153">
        <v>742000</v>
      </c>
    </row>
    <row r="120" spans="1:35" ht="45" customHeight="1">
      <c r="A120" s="153">
        <f t="shared" si="2"/>
        <v>113</v>
      </c>
      <c r="B120" s="153">
        <v>1965</v>
      </c>
      <c r="C120" s="259" t="s">
        <v>282</v>
      </c>
      <c r="D120" s="154">
        <v>35000000</v>
      </c>
      <c r="E120" s="154">
        <v>35000000</v>
      </c>
      <c r="F120" s="154">
        <v>0</v>
      </c>
      <c r="G120" s="154">
        <v>2100000</v>
      </c>
      <c r="H120" s="154">
        <v>381891</v>
      </c>
      <c r="I120" s="154">
        <v>0</v>
      </c>
      <c r="J120" s="154">
        <v>445520</v>
      </c>
      <c r="K120" s="154">
        <v>445520</v>
      </c>
      <c r="L120" s="154">
        <v>827411</v>
      </c>
      <c r="M120" s="154">
        <v>1272589</v>
      </c>
      <c r="N120" s="154">
        <v>0</v>
      </c>
      <c r="O120" s="154">
        <v>32900000</v>
      </c>
      <c r="P120" s="154">
        <v>1272589</v>
      </c>
      <c r="Q120" s="154">
        <v>0</v>
      </c>
      <c r="R120" s="154">
        <v>0</v>
      </c>
      <c r="S120" s="154">
        <v>0</v>
      </c>
      <c r="T120" s="154">
        <v>0</v>
      </c>
      <c r="U120" s="154">
        <v>0</v>
      </c>
      <c r="V120" s="154">
        <v>0</v>
      </c>
      <c r="W120" s="154">
        <v>0</v>
      </c>
      <c r="X120" s="154">
        <v>0</v>
      </c>
      <c r="Y120" s="154">
        <v>0</v>
      </c>
      <c r="Z120" s="153">
        <v>0</v>
      </c>
      <c r="AA120" s="153">
        <v>0</v>
      </c>
      <c r="AB120" s="259" t="s">
        <v>1480</v>
      </c>
      <c r="AC120" s="153">
        <v>810000</v>
      </c>
    </row>
    <row r="121" spans="1:35" s="5" customFormat="1" ht="45" customHeight="1">
      <c r="A121" s="153">
        <f t="shared" si="2"/>
        <v>114</v>
      </c>
      <c r="B121" s="153">
        <v>2186</v>
      </c>
      <c r="C121" s="259" t="s">
        <v>485</v>
      </c>
      <c r="D121" s="154">
        <v>7011744</v>
      </c>
      <c r="E121" s="154">
        <v>8100000</v>
      </c>
      <c r="F121" s="154">
        <v>-1088256</v>
      </c>
      <c r="G121" s="154">
        <v>7011744</v>
      </c>
      <c r="H121" s="154">
        <v>7010038</v>
      </c>
      <c r="I121" s="154">
        <v>0</v>
      </c>
      <c r="J121" s="154">
        <v>1212</v>
      </c>
      <c r="K121" s="154">
        <v>1212</v>
      </c>
      <c r="L121" s="154">
        <v>7011250</v>
      </c>
      <c r="M121" s="154">
        <v>494</v>
      </c>
      <c r="N121" s="154">
        <v>0</v>
      </c>
      <c r="O121" s="154">
        <v>0</v>
      </c>
      <c r="P121" s="154">
        <v>494</v>
      </c>
      <c r="Q121" s="154">
        <v>0</v>
      </c>
      <c r="R121" s="154">
        <v>0</v>
      </c>
      <c r="S121" s="154">
        <v>0</v>
      </c>
      <c r="T121" s="154">
        <v>0</v>
      </c>
      <c r="U121" s="154">
        <v>0</v>
      </c>
      <c r="V121" s="154">
        <v>0</v>
      </c>
      <c r="W121" s="154">
        <v>0</v>
      </c>
      <c r="X121" s="154">
        <v>0</v>
      </c>
      <c r="Y121" s="154">
        <v>0</v>
      </c>
      <c r="Z121" s="153">
        <v>0</v>
      </c>
      <c r="AA121" s="153">
        <v>0</v>
      </c>
      <c r="AB121" s="259" t="s">
        <v>1404</v>
      </c>
      <c r="AC121" s="3">
        <v>810000</v>
      </c>
      <c r="AD121" s="157"/>
      <c r="AE121" s="157"/>
      <c r="AF121" s="157"/>
      <c r="AG121" s="157"/>
      <c r="AH121" s="157"/>
      <c r="AI121" s="157"/>
    </row>
    <row r="122" spans="1:35" s="244" customFormat="1" ht="45" customHeight="1">
      <c r="A122" s="159">
        <f>A121</f>
        <v>114</v>
      </c>
      <c r="B122" s="243"/>
      <c r="C122" s="159" t="s">
        <v>283</v>
      </c>
      <c r="D122" s="160">
        <v>1138078480</v>
      </c>
      <c r="E122" s="160">
        <v>1020980496</v>
      </c>
      <c r="F122" s="160">
        <v>117097984</v>
      </c>
      <c r="G122" s="160">
        <v>639772519</v>
      </c>
      <c r="H122" s="160">
        <v>594583813</v>
      </c>
      <c r="I122" s="160">
        <v>0</v>
      </c>
      <c r="J122" s="160">
        <v>8974886</v>
      </c>
      <c r="K122" s="160">
        <v>8974886</v>
      </c>
      <c r="L122" s="160">
        <v>603558699</v>
      </c>
      <c r="M122" s="160">
        <v>75313820</v>
      </c>
      <c r="N122" s="160">
        <v>150043868</v>
      </c>
      <c r="O122" s="160">
        <v>309162093</v>
      </c>
      <c r="P122" s="160">
        <v>36213820</v>
      </c>
      <c r="Q122" s="160">
        <v>19100000</v>
      </c>
      <c r="R122" s="160">
        <v>20000000</v>
      </c>
      <c r="S122" s="160">
        <v>39100000</v>
      </c>
      <c r="T122" s="160">
        <v>0</v>
      </c>
      <c r="U122" s="160">
        <v>150043868</v>
      </c>
      <c r="V122" s="160">
        <v>101230610</v>
      </c>
      <c r="W122" s="160">
        <v>20530000</v>
      </c>
      <c r="X122" s="160">
        <v>0</v>
      </c>
      <c r="Y122" s="160">
        <v>866000</v>
      </c>
      <c r="Z122" s="160">
        <v>0</v>
      </c>
      <c r="AA122" s="160">
        <v>27417258</v>
      </c>
      <c r="AB122" s="150"/>
      <c r="AC122" s="159"/>
      <c r="AD122" s="157"/>
      <c r="AE122" s="157"/>
      <c r="AF122" s="157"/>
      <c r="AG122" s="157"/>
      <c r="AH122" s="157"/>
      <c r="AI122" s="157"/>
    </row>
    <row r="123" spans="1:35" s="331" customFormat="1" ht="45" customHeight="1">
      <c r="A123" s="270">
        <f>A122</f>
        <v>114</v>
      </c>
      <c r="B123" s="270"/>
      <c r="C123" s="29" t="s">
        <v>492</v>
      </c>
      <c r="D123" s="330">
        <v>3576267028</v>
      </c>
      <c r="E123" s="330">
        <v>3311894339</v>
      </c>
      <c r="F123" s="330">
        <v>264372689</v>
      </c>
      <c r="G123" s="330">
        <v>1595139611</v>
      </c>
      <c r="H123" s="330">
        <v>1320333529</v>
      </c>
      <c r="I123" s="330">
        <v>7701092</v>
      </c>
      <c r="J123" s="330">
        <v>38242600.210000001</v>
      </c>
      <c r="K123" s="330">
        <v>45943692.210000001</v>
      </c>
      <c r="L123" s="330">
        <v>1366277221.21</v>
      </c>
      <c r="M123" s="330">
        <v>325067412.78999996</v>
      </c>
      <c r="N123" s="330">
        <v>363016816</v>
      </c>
      <c r="O123" s="330">
        <v>1521905578</v>
      </c>
      <c r="P123" s="330">
        <v>228862389.78999999</v>
      </c>
      <c r="Q123" s="330">
        <v>84055023</v>
      </c>
      <c r="R123" s="330">
        <v>26150000</v>
      </c>
      <c r="S123" s="330">
        <v>110205023</v>
      </c>
      <c r="T123" s="330">
        <v>14000000</v>
      </c>
      <c r="U123" s="330">
        <v>349016816</v>
      </c>
      <c r="V123" s="330">
        <v>244086638</v>
      </c>
      <c r="W123" s="330">
        <v>25030000</v>
      </c>
      <c r="X123" s="330">
        <v>0</v>
      </c>
      <c r="Y123" s="330">
        <v>866000</v>
      </c>
      <c r="Z123" s="330">
        <v>0</v>
      </c>
      <c r="AA123" s="330">
        <v>79034178</v>
      </c>
      <c r="AB123" s="330"/>
      <c r="AC123" s="270"/>
      <c r="AD123" s="157"/>
      <c r="AE123" s="157"/>
      <c r="AF123" s="157"/>
      <c r="AG123" s="157"/>
      <c r="AH123" s="157"/>
      <c r="AI123" s="157"/>
    </row>
    <row r="124" spans="1:35">
      <c r="F124" s="247"/>
      <c r="G124" s="247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</row>
    <row r="125" spans="1:35"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</row>
    <row r="126" spans="1:35">
      <c r="U126" s="370"/>
    </row>
    <row r="127" spans="1:35">
      <c r="U127" s="370"/>
    </row>
    <row r="128" spans="1:35">
      <c r="U128" s="370"/>
    </row>
    <row r="129" spans="21:21">
      <c r="U129" s="370"/>
    </row>
    <row r="130" spans="21:21">
      <c r="U130" s="370"/>
    </row>
    <row r="132" spans="21:21">
      <c r="U132" s="403"/>
    </row>
    <row r="134" spans="21:21">
      <c r="U134" s="403"/>
    </row>
    <row r="135" spans="21:21">
      <c r="U135" s="403"/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132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showZeros="0" rightToLeft="1" tabSelected="1" topLeftCell="A16" zoomScaleNormal="100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38.88671875" style="191" customWidth="1"/>
    <col min="5" max="5" width="30.44140625" style="191" customWidth="1"/>
    <col min="6" max="6" width="10.88671875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2" spans="1:17" ht="21">
      <c r="E2" s="192"/>
    </row>
    <row r="3" spans="1:17" ht="21">
      <c r="A3" s="190"/>
      <c r="C3" s="192" t="s">
        <v>700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1.6" thickBot="1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16.2" thickBot="1">
      <c r="A5" s="190"/>
      <c r="B5" s="193" t="s">
        <v>136</v>
      </c>
      <c r="C5" s="190" t="s">
        <v>1433</v>
      </c>
      <c r="D5" s="190"/>
      <c r="E5" s="190"/>
      <c r="F5" s="194">
        <v>75601000</v>
      </c>
      <c r="I5" s="190"/>
      <c r="J5" s="190"/>
      <c r="K5" s="190"/>
      <c r="L5" s="190"/>
    </row>
    <row r="6" spans="1:17" ht="15" customHeight="1" thickBot="1">
      <c r="A6" s="190"/>
      <c r="C6" s="192"/>
      <c r="D6" s="190"/>
      <c r="E6" s="190"/>
      <c r="F6" s="190"/>
      <c r="H6" s="190"/>
      <c r="I6" s="190"/>
      <c r="J6" s="190"/>
      <c r="K6" s="190"/>
      <c r="L6" s="190"/>
    </row>
    <row r="7" spans="1:17" ht="16.2" thickBot="1">
      <c r="B7" s="193" t="s">
        <v>136</v>
      </c>
      <c r="C7" s="190" t="s">
        <v>1436</v>
      </c>
      <c r="D7" s="190"/>
      <c r="F7" s="202">
        <v>105</v>
      </c>
      <c r="I7" s="190"/>
      <c r="J7" s="190"/>
      <c r="K7" s="190"/>
      <c r="L7" s="190"/>
      <c r="M7" s="190"/>
      <c r="N7" s="190"/>
      <c r="O7" s="190"/>
      <c r="P7" s="190"/>
      <c r="Q7" s="190"/>
    </row>
    <row r="8" spans="1:17" ht="15.6">
      <c r="B8" s="193"/>
      <c r="C8" s="190"/>
      <c r="D8" s="190"/>
      <c r="E8" s="190"/>
      <c r="F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ht="15.6">
      <c r="B9" s="193" t="s">
        <v>136</v>
      </c>
      <c r="C9" s="190" t="s">
        <v>231</v>
      </c>
      <c r="D9" s="190"/>
      <c r="E9" s="190"/>
      <c r="F9" s="190"/>
      <c r="G9" s="190"/>
      <c r="H9" s="190"/>
      <c r="I9" s="190"/>
      <c r="J9" s="190"/>
      <c r="K9" s="190"/>
      <c r="L9" s="190"/>
    </row>
    <row r="10" spans="1:17" ht="16.2" thickBot="1"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D11" s="203" t="s">
        <v>232</v>
      </c>
      <c r="E11" s="204" t="s">
        <v>233</v>
      </c>
      <c r="F11" s="205" t="s">
        <v>234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>
      <c r="C12" s="193"/>
      <c r="D12" s="197" t="s">
        <v>13</v>
      </c>
      <c r="E12" s="206">
        <v>-900000</v>
      </c>
      <c r="F12" s="228">
        <v>-1.1904604436449253E-2</v>
      </c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</row>
    <row r="13" spans="1:17" ht="15.6">
      <c r="C13" s="193"/>
      <c r="D13" s="197" t="s">
        <v>14</v>
      </c>
      <c r="E13" s="206">
        <v>60879061</v>
      </c>
      <c r="F13" s="228">
        <v>0.80526793296384969</v>
      </c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7" ht="15.6" hidden="1">
      <c r="C14" s="193"/>
      <c r="D14" s="197" t="s">
        <v>575</v>
      </c>
      <c r="E14" s="206"/>
      <c r="F14" s="228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6">
      <c r="C15" s="193"/>
      <c r="D15" s="197" t="s">
        <v>79</v>
      </c>
      <c r="E15" s="206">
        <v>15621939</v>
      </c>
      <c r="F15" s="228">
        <v>0.20663667147259956</v>
      </c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</row>
    <row r="16" spans="1:17" ht="16.2" thickBot="1">
      <c r="C16" s="193"/>
      <c r="D16" s="200" t="s">
        <v>88</v>
      </c>
      <c r="E16" s="208">
        <v>75601000</v>
      </c>
      <c r="F16" s="272">
        <v>1</v>
      </c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1:17" ht="15.6">
      <c r="C17" s="193"/>
      <c r="D17" s="196"/>
      <c r="E17" s="217"/>
      <c r="F17" s="328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1:17" ht="15.6">
      <c r="B18" s="193"/>
      <c r="C18" s="190"/>
      <c r="D18" s="190" t="s">
        <v>1254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1:17" s="263" customFormat="1" ht="15.6">
      <c r="C19" s="265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263" customFormat="1" ht="15.6">
      <c r="A20" s="262"/>
      <c r="B20" s="284"/>
      <c r="C20" s="285" t="s">
        <v>136</v>
      </c>
      <c r="D20" s="286" t="s">
        <v>1374</v>
      </c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ht="21">
      <c r="A21" s="190"/>
      <c r="C21" s="192"/>
      <c r="D21" s="277" t="s">
        <v>1425</v>
      </c>
      <c r="E21" s="190"/>
      <c r="F21" s="190"/>
      <c r="G21" s="190"/>
      <c r="H21" s="190"/>
      <c r="I21" s="190"/>
      <c r="J21" s="190"/>
      <c r="K21" s="190"/>
      <c r="L21" s="190"/>
    </row>
    <row r="22" spans="1:17" ht="15.6">
      <c r="A22" s="190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</row>
    <row r="23" spans="1:17" ht="15.6">
      <c r="C23" s="190"/>
      <c r="D23" s="190"/>
      <c r="E23" s="190"/>
      <c r="F23" s="190"/>
      <c r="H23" s="190"/>
      <c r="I23" s="190"/>
      <c r="J23" s="190"/>
      <c r="K23" s="190"/>
      <c r="L23" s="190"/>
    </row>
    <row r="24" spans="1:17" ht="15.6">
      <c r="B24" s="193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</row>
    <row r="25" spans="1:17" s="284" customFormat="1" ht="15.6"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showZeros="0" rightToLeft="1" tabSelected="1" zoomScaleNormal="100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40.109375" style="191" customWidth="1"/>
    <col min="5" max="5" width="30.44140625" style="191" customWidth="1"/>
    <col min="6" max="6" width="10.88671875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2" spans="1:17" ht="21">
      <c r="E2" s="192"/>
    </row>
    <row r="3" spans="1:17" ht="21">
      <c r="A3" s="190"/>
      <c r="C3" s="192" t="s">
        <v>768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1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15.6">
      <c r="B5" s="193" t="s">
        <v>136</v>
      </c>
      <c r="C5" s="190" t="s">
        <v>1247</v>
      </c>
      <c r="D5" s="190"/>
      <c r="E5" s="190"/>
      <c r="F5" s="190"/>
      <c r="H5" s="199"/>
      <c r="I5" s="190"/>
      <c r="J5" s="190"/>
      <c r="K5" s="190"/>
      <c r="L5" s="190"/>
      <c r="M5" s="190"/>
      <c r="N5" s="190"/>
      <c r="O5" s="190"/>
      <c r="P5" s="190"/>
      <c r="Q5" s="190"/>
    </row>
    <row r="6" spans="1:17" ht="16.2" thickBot="1">
      <c r="C6" s="190"/>
      <c r="D6" s="190"/>
      <c r="E6" s="190"/>
      <c r="F6" s="190"/>
      <c r="H6" s="190"/>
      <c r="I6" s="190"/>
      <c r="J6" s="190"/>
      <c r="K6" s="190"/>
      <c r="L6" s="190"/>
    </row>
    <row r="7" spans="1:17" ht="15.6">
      <c r="D7" s="203" t="s">
        <v>235</v>
      </c>
      <c r="E7" s="195" t="s">
        <v>233</v>
      </c>
      <c r="F7" s="196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</row>
    <row r="8" spans="1:17" ht="31.2">
      <c r="C8" s="193"/>
      <c r="D8" s="291" t="s">
        <v>726</v>
      </c>
      <c r="E8" s="198">
        <v>6500000</v>
      </c>
      <c r="F8" s="199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ht="15.6">
      <c r="C9" s="193"/>
      <c r="D9" s="210" t="s">
        <v>397</v>
      </c>
      <c r="E9" s="211">
        <v>5000000</v>
      </c>
      <c r="F9" s="199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</row>
    <row r="10" spans="1:17" ht="15.6">
      <c r="C10" s="193"/>
      <c r="D10" s="215" t="s">
        <v>732</v>
      </c>
      <c r="E10" s="211">
        <v>5000000</v>
      </c>
      <c r="F10" s="199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C11" s="193"/>
      <c r="D11" s="215" t="s">
        <v>300</v>
      </c>
      <c r="E11" s="211">
        <v>4000000</v>
      </c>
      <c r="F11" s="199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>
      <c r="C12" s="193"/>
      <c r="D12" s="210" t="s">
        <v>245</v>
      </c>
      <c r="E12" s="211">
        <v>4700000</v>
      </c>
      <c r="F12" s="199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</row>
    <row r="13" spans="1:17" ht="15.6">
      <c r="C13" s="193"/>
      <c r="D13" s="215" t="s">
        <v>840</v>
      </c>
      <c r="E13" s="211">
        <v>3000000</v>
      </c>
      <c r="F13" s="199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7" ht="15.6">
      <c r="C14" s="193"/>
      <c r="D14" s="210" t="s">
        <v>489</v>
      </c>
      <c r="E14" s="211">
        <v>6000000</v>
      </c>
      <c r="F14" s="199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6">
      <c r="C15" s="193"/>
      <c r="D15" s="210" t="s">
        <v>718</v>
      </c>
      <c r="E15" s="211">
        <v>4000000</v>
      </c>
      <c r="F15" s="199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</row>
    <row r="16" spans="1:17" ht="16.2" thickBot="1">
      <c r="C16" s="193"/>
      <c r="D16" s="212" t="s">
        <v>841</v>
      </c>
      <c r="E16" s="213">
        <v>4500000</v>
      </c>
      <c r="F16" s="199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1:17" ht="15.6">
      <c r="B17" s="193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1:17" ht="15.6">
      <c r="B18" s="193" t="s">
        <v>136</v>
      </c>
      <c r="C18" s="190"/>
      <c r="D18" s="199" t="s">
        <v>1256</v>
      </c>
      <c r="E18" s="190"/>
      <c r="F18" s="190"/>
      <c r="H18" s="199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1:17" ht="15.6">
      <c r="B19" s="193"/>
      <c r="C19" s="190"/>
      <c r="D19" s="199" t="s">
        <v>1257</v>
      </c>
      <c r="E19" s="190"/>
      <c r="F19" s="190"/>
      <c r="G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7" ht="15.6">
      <c r="B20" s="193"/>
      <c r="C20" s="190"/>
      <c r="D20" s="199" t="s">
        <v>1258</v>
      </c>
      <c r="E20" s="190"/>
      <c r="F20" s="190"/>
      <c r="G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7" ht="15.6">
      <c r="C21" s="193"/>
      <c r="D21" s="199"/>
      <c r="E21" s="222"/>
      <c r="F21" s="199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</row>
    <row r="22" spans="1:17" ht="15.6">
      <c r="B22" s="193"/>
      <c r="C22" s="190"/>
      <c r="D22" s="276" t="s">
        <v>1255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</row>
    <row r="23" spans="1:17" ht="15.6">
      <c r="A23" s="201"/>
      <c r="B23" s="216"/>
    </row>
    <row r="24" spans="1:17" ht="15.6">
      <c r="A24" s="190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</row>
    <row r="25" spans="1:17" ht="15.6">
      <c r="A25" s="190"/>
      <c r="B25" s="190"/>
      <c r="C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</row>
    <row r="26" spans="1:17" ht="15.6">
      <c r="B26" s="193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</row>
    <row r="42" spans="4:4" ht="15.6">
      <c r="D42" s="19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2"/>
  <sheetViews>
    <sheetView showZeros="0" rightToLeft="1" tabSelected="1" zoomScale="110" zoomScaleNormal="110" workbookViewId="0">
      <pane xSplit="4" ySplit="4" topLeftCell="E102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.88671875" defaultRowHeight="13.2"/>
  <cols>
    <col min="1" max="1" width="3.77734375" style="371" customWidth="1"/>
    <col min="2" max="2" width="5.77734375" style="371" customWidth="1"/>
    <col min="3" max="3" width="21.44140625" style="371" customWidth="1"/>
    <col min="4" max="5" width="10.77734375" style="371" customWidth="1"/>
    <col min="6" max="6" width="9.77734375" style="371" customWidth="1"/>
    <col min="7" max="8" width="11.109375" style="371" hidden="1" customWidth="1"/>
    <col min="9" max="10" width="10.109375" style="371" hidden="1" customWidth="1"/>
    <col min="11" max="11" width="10.44140625" style="371" hidden="1" customWidth="1"/>
    <col min="12" max="12" width="10.77734375" style="371" customWidth="1"/>
    <col min="13" max="14" width="9.77734375" style="371" customWidth="1"/>
    <col min="15" max="15" width="10.77734375" style="371" customWidth="1"/>
    <col min="16" max="16" width="10.109375" style="371" hidden="1" customWidth="1"/>
    <col min="17" max="17" width="9.88671875" style="371" hidden="1" customWidth="1"/>
    <col min="18" max="18" width="8.88671875" style="371" hidden="1" customWidth="1"/>
    <col min="19" max="19" width="10.6640625" style="371" hidden="1" customWidth="1"/>
    <col min="20" max="20" width="8.77734375" style="371" customWidth="1"/>
    <col min="21" max="21" width="9.77734375" style="371" customWidth="1"/>
    <col min="22" max="22" width="8.77734375" style="371" customWidth="1"/>
    <col min="23" max="23" width="9.77734375" style="371" customWidth="1"/>
    <col min="24" max="24" width="6.33203125" style="371" hidden="1" customWidth="1"/>
    <col min="25" max="25" width="9.109375" style="371" hidden="1" customWidth="1"/>
    <col min="26" max="26" width="9.5546875" style="371" hidden="1" customWidth="1"/>
    <col min="27" max="27" width="9.77734375" style="371" customWidth="1"/>
    <col min="28" max="28" width="32.109375" style="184" hidden="1" customWidth="1"/>
    <col min="29" max="29" width="6.88671875" style="184" hidden="1" customWidth="1"/>
    <col min="30" max="30" width="21.44140625" customWidth="1"/>
    <col min="31" max="31" width="20.5546875" customWidth="1"/>
    <col min="32" max="32" width="28.109375" customWidth="1"/>
    <col min="33" max="33" width="30" customWidth="1"/>
    <col min="34" max="34" width="7.44140625" customWidth="1"/>
    <col min="35" max="35" width="4.5546875" customWidth="1"/>
    <col min="36" max="36" width="16.33203125" customWidth="1"/>
    <col min="37" max="38" width="21.33203125" customWidth="1"/>
    <col min="39" max="40" width="11.33203125" customWidth="1"/>
    <col min="41" max="41" width="22.44140625" customWidth="1"/>
    <col min="42" max="42" width="12.44140625" customWidth="1"/>
    <col min="43" max="43" width="14.88671875" customWidth="1"/>
  </cols>
  <sheetData>
    <row r="1" spans="1:29" ht="13.8">
      <c r="A1" s="26"/>
      <c r="B1" s="337"/>
      <c r="C1" s="337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1"/>
    </row>
    <row r="2" spans="1:29" ht="18">
      <c r="A2" s="58" t="s">
        <v>700</v>
      </c>
      <c r="B2" s="58"/>
      <c r="C2" s="337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1"/>
    </row>
    <row r="3" spans="1:29" ht="21">
      <c r="B3" s="375"/>
      <c r="C3" s="375"/>
      <c r="D3" s="13"/>
      <c r="E3" s="13"/>
      <c r="F3" s="13"/>
      <c r="G3" s="13"/>
      <c r="H3" s="13"/>
      <c r="I3" s="13"/>
      <c r="J3" s="13"/>
      <c r="K3" s="13"/>
      <c r="L3" s="13"/>
      <c r="M3" s="376"/>
      <c r="N3" s="13"/>
      <c r="O3" s="13"/>
      <c r="P3" s="13"/>
      <c r="Q3" s="13"/>
      <c r="R3" s="13"/>
      <c r="S3" s="13"/>
      <c r="T3" s="13"/>
      <c r="U3" s="11"/>
      <c r="V3" s="11"/>
      <c r="W3" s="11"/>
      <c r="X3" s="11"/>
      <c r="Y3" s="11"/>
      <c r="Z3" s="11"/>
      <c r="AA3" s="11"/>
      <c r="AB3" s="17"/>
      <c r="AC3" s="11"/>
    </row>
    <row r="4" spans="1:29" ht="82.8">
      <c r="A4" s="333" t="s">
        <v>0</v>
      </c>
      <c r="B4" s="333" t="s">
        <v>1</v>
      </c>
      <c r="C4" s="333" t="s">
        <v>2</v>
      </c>
      <c r="D4" s="333" t="s">
        <v>3</v>
      </c>
      <c r="E4" s="333" t="s">
        <v>4</v>
      </c>
      <c r="F4" s="333" t="s">
        <v>5</v>
      </c>
      <c r="G4" s="333" t="s">
        <v>6</v>
      </c>
      <c r="H4" s="333" t="s">
        <v>7</v>
      </c>
      <c r="I4" s="333" t="s">
        <v>9</v>
      </c>
      <c r="J4" s="333" t="s">
        <v>132</v>
      </c>
      <c r="K4" s="333" t="s">
        <v>10</v>
      </c>
      <c r="L4" s="333" t="s">
        <v>11</v>
      </c>
      <c r="M4" s="333" t="s">
        <v>875</v>
      </c>
      <c r="N4" s="333" t="s">
        <v>876</v>
      </c>
      <c r="O4" s="9" t="s">
        <v>877</v>
      </c>
      <c r="P4" s="332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333" t="s">
        <v>13</v>
      </c>
      <c r="W4" s="333" t="s">
        <v>14</v>
      </c>
      <c r="X4" s="333" t="s">
        <v>15</v>
      </c>
      <c r="Y4" s="333" t="s">
        <v>225</v>
      </c>
      <c r="Z4" s="333" t="s">
        <v>575</v>
      </c>
      <c r="AA4" s="333" t="s">
        <v>79</v>
      </c>
      <c r="AB4" s="478" t="s">
        <v>257</v>
      </c>
      <c r="AC4" s="333" t="s">
        <v>16</v>
      </c>
    </row>
    <row r="5" spans="1:29" ht="40.049999999999997" customHeight="1">
      <c r="A5" s="3">
        <v>1</v>
      </c>
      <c r="B5" s="3">
        <v>1210</v>
      </c>
      <c r="C5" s="3" t="s">
        <v>61</v>
      </c>
      <c r="D5" s="4">
        <v>113550000</v>
      </c>
      <c r="E5" s="4">
        <v>113550000</v>
      </c>
      <c r="F5" s="4">
        <v>0</v>
      </c>
      <c r="G5" s="4">
        <v>102200000</v>
      </c>
      <c r="H5" s="4">
        <v>100108466</v>
      </c>
      <c r="I5" s="4">
        <v>0</v>
      </c>
      <c r="J5" s="4">
        <v>1001101</v>
      </c>
      <c r="K5" s="4">
        <v>1001101</v>
      </c>
      <c r="L5" s="4">
        <v>101109567</v>
      </c>
      <c r="M5" s="4">
        <v>3090433</v>
      </c>
      <c r="N5" s="4">
        <v>7000000</v>
      </c>
      <c r="O5" s="4">
        <v>2350000</v>
      </c>
      <c r="P5" s="4">
        <v>1090433</v>
      </c>
      <c r="Q5" s="435">
        <v>2000000</v>
      </c>
      <c r="R5" s="4"/>
      <c r="S5" s="4">
        <v>2000000</v>
      </c>
      <c r="T5" s="4">
        <v>0</v>
      </c>
      <c r="U5" s="4">
        <v>7000000</v>
      </c>
      <c r="V5" s="4"/>
      <c r="W5" s="4"/>
      <c r="X5" s="4"/>
      <c r="Y5" s="4"/>
      <c r="Z5" s="4"/>
      <c r="AA5" s="4">
        <v>7000000</v>
      </c>
      <c r="AB5" s="3" t="s">
        <v>462</v>
      </c>
      <c r="AC5" s="3">
        <v>764000</v>
      </c>
    </row>
    <row r="6" spans="1:29" ht="40.049999999999997" customHeight="1">
      <c r="A6" s="3">
        <f t="shared" ref="A6:A69" si="0">A5+1</f>
        <v>2</v>
      </c>
      <c r="B6" s="3">
        <v>1247</v>
      </c>
      <c r="C6" s="3" t="s">
        <v>47</v>
      </c>
      <c r="D6" s="4">
        <v>9750000</v>
      </c>
      <c r="E6" s="4">
        <v>9500000</v>
      </c>
      <c r="F6" s="4">
        <v>250000</v>
      </c>
      <c r="G6" s="4">
        <v>9450000</v>
      </c>
      <c r="H6" s="4">
        <v>9137992</v>
      </c>
      <c r="I6" s="4">
        <v>5068</v>
      </c>
      <c r="J6" s="4">
        <v>196072</v>
      </c>
      <c r="K6" s="4">
        <v>201140</v>
      </c>
      <c r="L6" s="4">
        <v>9339132</v>
      </c>
      <c r="M6" s="4">
        <v>110868</v>
      </c>
      <c r="N6" s="4">
        <v>300000</v>
      </c>
      <c r="O6" s="4">
        <v>0</v>
      </c>
      <c r="P6" s="4">
        <v>110868</v>
      </c>
      <c r="Q6" s="4"/>
      <c r="R6" s="4"/>
      <c r="S6" s="4">
        <v>0</v>
      </c>
      <c r="T6" s="4">
        <v>0</v>
      </c>
      <c r="U6" s="4">
        <v>300000</v>
      </c>
      <c r="V6" s="4"/>
      <c r="W6" s="4">
        <v>300000</v>
      </c>
      <c r="X6" s="4"/>
      <c r="Y6" s="4"/>
      <c r="Z6" s="4"/>
      <c r="AA6" s="3"/>
      <c r="AB6" s="3" t="s">
        <v>701</v>
      </c>
      <c r="AC6" s="3">
        <v>732000</v>
      </c>
    </row>
    <row r="7" spans="1:29" ht="40.049999999999997" customHeight="1">
      <c r="A7" s="3">
        <f t="shared" si="0"/>
        <v>3</v>
      </c>
      <c r="B7" s="3">
        <v>1253</v>
      </c>
      <c r="C7" s="3" t="s">
        <v>48</v>
      </c>
      <c r="D7" s="4">
        <v>6100000</v>
      </c>
      <c r="E7" s="4">
        <v>5600000</v>
      </c>
      <c r="F7" s="4">
        <v>500000</v>
      </c>
      <c r="G7" s="4">
        <v>5600000</v>
      </c>
      <c r="H7" s="4">
        <v>5553194</v>
      </c>
      <c r="I7" s="4">
        <v>0</v>
      </c>
      <c r="J7" s="4">
        <v>46745</v>
      </c>
      <c r="K7" s="4">
        <v>46745</v>
      </c>
      <c r="L7" s="4">
        <v>5599939</v>
      </c>
      <c r="M7" s="4">
        <v>61</v>
      </c>
      <c r="N7" s="4">
        <v>500000</v>
      </c>
      <c r="O7" s="4">
        <v>0</v>
      </c>
      <c r="P7" s="4">
        <v>61</v>
      </c>
      <c r="Q7" s="4"/>
      <c r="R7" s="4"/>
      <c r="S7" s="4">
        <v>0</v>
      </c>
      <c r="T7" s="4">
        <v>0</v>
      </c>
      <c r="U7" s="4">
        <v>500000</v>
      </c>
      <c r="V7" s="4"/>
      <c r="W7" s="4">
        <v>500000</v>
      </c>
      <c r="X7" s="4"/>
      <c r="Y7" s="4"/>
      <c r="Z7" s="4"/>
      <c r="AA7" s="3"/>
      <c r="AB7" s="3" t="s">
        <v>1405</v>
      </c>
      <c r="AC7" s="3">
        <v>850000</v>
      </c>
    </row>
    <row r="8" spans="1:29" ht="40.049999999999997" customHeight="1">
      <c r="A8" s="3">
        <f t="shared" si="0"/>
        <v>4</v>
      </c>
      <c r="B8" s="3">
        <v>1254</v>
      </c>
      <c r="C8" s="3" t="s">
        <v>300</v>
      </c>
      <c r="D8" s="4">
        <v>53372866</v>
      </c>
      <c r="E8" s="4">
        <v>49000000</v>
      </c>
      <c r="F8" s="4">
        <v>4372866</v>
      </c>
      <c r="G8" s="4">
        <v>47072866</v>
      </c>
      <c r="H8" s="4">
        <v>43825019.25</v>
      </c>
      <c r="I8" s="4">
        <v>0</v>
      </c>
      <c r="J8" s="4">
        <v>2882981</v>
      </c>
      <c r="K8" s="4">
        <v>2882981</v>
      </c>
      <c r="L8" s="4">
        <v>46708000.25</v>
      </c>
      <c r="M8" s="4">
        <v>664865.75</v>
      </c>
      <c r="N8" s="4">
        <v>4000000</v>
      </c>
      <c r="O8" s="4">
        <v>2000000</v>
      </c>
      <c r="P8" s="4">
        <v>364865.75</v>
      </c>
      <c r="Q8" s="4"/>
      <c r="R8" s="441">
        <v>300000</v>
      </c>
      <c r="S8" s="4">
        <v>300000</v>
      </c>
      <c r="T8" s="4">
        <v>0</v>
      </c>
      <c r="U8" s="4">
        <v>4000000</v>
      </c>
      <c r="V8" s="4"/>
      <c r="W8" s="154">
        <v>4000000</v>
      </c>
      <c r="X8" s="4"/>
      <c r="Y8" s="4"/>
      <c r="Z8" s="4"/>
      <c r="AA8" s="4"/>
      <c r="AB8" s="3" t="s">
        <v>1240</v>
      </c>
      <c r="AC8" s="3">
        <v>746000</v>
      </c>
    </row>
    <row r="9" spans="1:29" ht="40.049999999999997" customHeight="1">
      <c r="A9" s="3">
        <f t="shared" si="0"/>
        <v>5</v>
      </c>
      <c r="B9" s="3">
        <v>1342</v>
      </c>
      <c r="C9" s="3" t="s">
        <v>68</v>
      </c>
      <c r="D9" s="4">
        <v>4700000</v>
      </c>
      <c r="E9" s="4">
        <v>4700000</v>
      </c>
      <c r="F9" s="4">
        <v>0</v>
      </c>
      <c r="G9" s="4">
        <v>3390000</v>
      </c>
      <c r="H9" s="4">
        <v>2885760</v>
      </c>
      <c r="I9" s="4">
        <v>0</v>
      </c>
      <c r="J9" s="4">
        <v>79962</v>
      </c>
      <c r="K9" s="4">
        <v>79962</v>
      </c>
      <c r="L9" s="4">
        <v>2965722</v>
      </c>
      <c r="M9" s="4">
        <v>24278</v>
      </c>
      <c r="N9" s="4">
        <v>950000</v>
      </c>
      <c r="O9" s="4">
        <v>760000</v>
      </c>
      <c r="P9" s="4">
        <v>424278</v>
      </c>
      <c r="Q9" s="435">
        <v>550000</v>
      </c>
      <c r="R9" s="4"/>
      <c r="S9" s="4">
        <v>550000</v>
      </c>
      <c r="T9" s="4">
        <v>950000</v>
      </c>
      <c r="U9" s="4">
        <v>0</v>
      </c>
      <c r="V9" s="4"/>
      <c r="W9" s="154">
        <v>0</v>
      </c>
      <c r="X9" s="4"/>
      <c r="Y9" s="4"/>
      <c r="Z9" s="4"/>
      <c r="AA9" s="4"/>
      <c r="AB9" s="3" t="s">
        <v>939</v>
      </c>
      <c r="AC9" s="3">
        <v>746000</v>
      </c>
    </row>
    <row r="10" spans="1:29" ht="40.049999999999997" customHeight="1">
      <c r="A10" s="3">
        <f t="shared" si="0"/>
        <v>6</v>
      </c>
      <c r="B10" s="3">
        <v>1343</v>
      </c>
      <c r="C10" s="3" t="s">
        <v>69</v>
      </c>
      <c r="D10" s="4">
        <v>7570000</v>
      </c>
      <c r="E10" s="4">
        <v>7170000</v>
      </c>
      <c r="F10" s="4">
        <v>400000</v>
      </c>
      <c r="G10" s="4">
        <v>7170000</v>
      </c>
      <c r="H10" s="4">
        <v>6659246</v>
      </c>
      <c r="I10" s="4">
        <v>0</v>
      </c>
      <c r="J10" s="4">
        <v>387904</v>
      </c>
      <c r="K10" s="4">
        <v>387904</v>
      </c>
      <c r="L10" s="4">
        <v>7047150</v>
      </c>
      <c r="M10" s="4">
        <v>122850</v>
      </c>
      <c r="N10" s="4">
        <v>400000</v>
      </c>
      <c r="O10" s="4">
        <v>0</v>
      </c>
      <c r="P10" s="4">
        <v>122850</v>
      </c>
      <c r="Q10" s="4"/>
      <c r="R10" s="4"/>
      <c r="S10" s="4">
        <v>0</v>
      </c>
      <c r="T10" s="4">
        <v>0</v>
      </c>
      <c r="U10" s="4">
        <v>400000</v>
      </c>
      <c r="V10" s="4"/>
      <c r="W10" s="154">
        <v>400000</v>
      </c>
      <c r="X10" s="4"/>
      <c r="Y10" s="4"/>
      <c r="Z10" s="4"/>
      <c r="AA10" s="4"/>
      <c r="AB10" s="3" t="s">
        <v>518</v>
      </c>
      <c r="AC10" s="3">
        <v>746000</v>
      </c>
    </row>
    <row r="11" spans="1:29" ht="40.049999999999997" customHeight="1">
      <c r="A11" s="3">
        <f t="shared" si="0"/>
        <v>7</v>
      </c>
      <c r="B11" s="3">
        <v>1415</v>
      </c>
      <c r="C11" s="3" t="s">
        <v>702</v>
      </c>
      <c r="D11" s="4">
        <v>1900000</v>
      </c>
      <c r="E11" s="4">
        <v>1800000</v>
      </c>
      <c r="F11" s="4">
        <v>100000</v>
      </c>
      <c r="G11" s="4">
        <v>1800000</v>
      </c>
      <c r="H11" s="4">
        <v>1566198</v>
      </c>
      <c r="I11" s="4">
        <v>0</v>
      </c>
      <c r="J11" s="4">
        <v>133757</v>
      </c>
      <c r="K11" s="4">
        <v>133757</v>
      </c>
      <c r="L11" s="4">
        <v>1699955</v>
      </c>
      <c r="M11" s="4">
        <v>200045</v>
      </c>
      <c r="N11" s="4">
        <v>0</v>
      </c>
      <c r="O11" s="4">
        <v>0</v>
      </c>
      <c r="P11" s="4">
        <v>100045</v>
      </c>
      <c r="Q11" s="4"/>
      <c r="R11" s="435">
        <v>100000</v>
      </c>
      <c r="S11" s="4">
        <v>100000</v>
      </c>
      <c r="T11" s="4">
        <v>0</v>
      </c>
      <c r="U11" s="4">
        <v>0</v>
      </c>
      <c r="V11" s="4"/>
      <c r="W11" s="4">
        <v>0</v>
      </c>
      <c r="X11" s="4"/>
      <c r="Y11" s="4"/>
      <c r="Z11" s="4"/>
      <c r="AA11" s="3"/>
      <c r="AB11" s="3" t="s">
        <v>1407</v>
      </c>
      <c r="AC11" s="3">
        <v>930000</v>
      </c>
    </row>
    <row r="12" spans="1:29" ht="40.049999999999997" customHeight="1">
      <c r="A12" s="3">
        <f t="shared" si="0"/>
        <v>8</v>
      </c>
      <c r="B12" s="3">
        <v>1416</v>
      </c>
      <c r="C12" s="3" t="s">
        <v>98</v>
      </c>
      <c r="D12" s="4">
        <v>3600000</v>
      </c>
      <c r="E12" s="4">
        <v>3000000</v>
      </c>
      <c r="F12" s="4">
        <v>600000</v>
      </c>
      <c r="G12" s="4">
        <v>2950000</v>
      </c>
      <c r="H12" s="4">
        <v>2739594</v>
      </c>
      <c r="I12" s="4">
        <v>0</v>
      </c>
      <c r="J12" s="4">
        <v>122748</v>
      </c>
      <c r="K12" s="4">
        <v>122748</v>
      </c>
      <c r="L12" s="4">
        <v>2862342</v>
      </c>
      <c r="M12" s="4">
        <v>137658</v>
      </c>
      <c r="N12" s="4">
        <v>600000</v>
      </c>
      <c r="O12" s="4">
        <v>0</v>
      </c>
      <c r="P12" s="4">
        <v>87658</v>
      </c>
      <c r="Q12" s="435">
        <v>50000</v>
      </c>
      <c r="R12" s="4"/>
      <c r="S12" s="4">
        <v>50000</v>
      </c>
      <c r="T12" s="4">
        <v>0</v>
      </c>
      <c r="U12" s="4">
        <v>600000</v>
      </c>
      <c r="V12" s="4"/>
      <c r="W12" s="4">
        <v>600000</v>
      </c>
      <c r="X12" s="4"/>
      <c r="Y12" s="4"/>
      <c r="Z12" s="4"/>
      <c r="AA12" s="3"/>
      <c r="AB12" s="3" t="s">
        <v>1406</v>
      </c>
      <c r="AC12" s="3">
        <v>930000</v>
      </c>
    </row>
    <row r="13" spans="1:29" ht="40.049999999999997" customHeight="1">
      <c r="A13" s="3">
        <f t="shared" si="0"/>
        <v>9</v>
      </c>
      <c r="B13" s="3">
        <v>1435</v>
      </c>
      <c r="C13" s="28" t="s">
        <v>436</v>
      </c>
      <c r="D13" s="4">
        <v>42000000</v>
      </c>
      <c r="E13" s="4">
        <v>35374320</v>
      </c>
      <c r="F13" s="4">
        <v>6625680</v>
      </c>
      <c r="G13" s="4">
        <v>33624320</v>
      </c>
      <c r="H13" s="4">
        <v>31230172</v>
      </c>
      <c r="I13" s="4">
        <v>0</v>
      </c>
      <c r="J13" s="4">
        <v>1155873</v>
      </c>
      <c r="K13" s="4">
        <v>1155873</v>
      </c>
      <c r="L13" s="4">
        <v>32386045</v>
      </c>
      <c r="M13" s="4">
        <v>2988275</v>
      </c>
      <c r="N13" s="4">
        <v>3000000</v>
      </c>
      <c r="O13" s="4">
        <v>3625680</v>
      </c>
      <c r="P13" s="4">
        <v>1238275</v>
      </c>
      <c r="Q13" s="435">
        <v>1750000</v>
      </c>
      <c r="R13" s="4"/>
      <c r="S13" s="4">
        <v>1750000</v>
      </c>
      <c r="T13" s="4">
        <v>0</v>
      </c>
      <c r="U13" s="4">
        <v>3000000</v>
      </c>
      <c r="V13" s="4"/>
      <c r="W13" s="154">
        <v>3000000</v>
      </c>
      <c r="X13" s="4"/>
      <c r="Y13" s="4"/>
      <c r="Z13" s="4"/>
      <c r="AA13" s="4"/>
      <c r="AB13" s="3" t="s">
        <v>796</v>
      </c>
      <c r="AC13" s="3">
        <v>848500</v>
      </c>
    </row>
    <row r="14" spans="1:29" ht="40.049999999999997" customHeight="1">
      <c r="A14" s="3">
        <f t="shared" si="0"/>
        <v>10</v>
      </c>
      <c r="B14" s="3">
        <v>1477</v>
      </c>
      <c r="C14" s="3" t="s">
        <v>503</v>
      </c>
      <c r="D14" s="4">
        <v>9350000</v>
      </c>
      <c r="E14" s="4">
        <v>9350000</v>
      </c>
      <c r="F14" s="4">
        <v>0</v>
      </c>
      <c r="G14" s="4">
        <v>7650000</v>
      </c>
      <c r="H14" s="4">
        <v>3936318</v>
      </c>
      <c r="I14" s="4">
        <v>0</v>
      </c>
      <c r="J14" s="4">
        <v>2170357</v>
      </c>
      <c r="K14" s="4">
        <v>2170357</v>
      </c>
      <c r="L14" s="4">
        <v>6106675</v>
      </c>
      <c r="M14" s="4">
        <v>1543325</v>
      </c>
      <c r="N14" s="4">
        <v>700000</v>
      </c>
      <c r="O14" s="4">
        <v>1000000</v>
      </c>
      <c r="P14" s="4">
        <v>1543325</v>
      </c>
      <c r="Q14" s="4"/>
      <c r="R14" s="4"/>
      <c r="S14" s="4">
        <v>0</v>
      </c>
      <c r="T14" s="4">
        <v>0</v>
      </c>
      <c r="U14" s="4">
        <v>700000</v>
      </c>
      <c r="V14" s="4"/>
      <c r="W14" s="4">
        <v>700000</v>
      </c>
      <c r="X14" s="4"/>
      <c r="Y14" s="4"/>
      <c r="Z14" s="4"/>
      <c r="AA14" s="3"/>
      <c r="AB14" s="381" t="s">
        <v>1310</v>
      </c>
      <c r="AC14" s="381">
        <v>810000</v>
      </c>
    </row>
    <row r="15" spans="1:29" ht="40.049999999999997" customHeight="1">
      <c r="A15" s="3">
        <f t="shared" si="0"/>
        <v>11</v>
      </c>
      <c r="B15" s="3">
        <v>1489</v>
      </c>
      <c r="C15" s="3" t="s">
        <v>286</v>
      </c>
      <c r="D15" s="4">
        <v>68500000</v>
      </c>
      <c r="E15" s="4">
        <v>61500000</v>
      </c>
      <c r="F15" s="4">
        <v>7000000</v>
      </c>
      <c r="G15" s="4">
        <v>59000000</v>
      </c>
      <c r="H15" s="4">
        <v>51716228</v>
      </c>
      <c r="I15" s="4">
        <v>0</v>
      </c>
      <c r="J15" s="4">
        <v>4754364</v>
      </c>
      <c r="K15" s="4">
        <v>4754364</v>
      </c>
      <c r="L15" s="4">
        <v>56470592</v>
      </c>
      <c r="M15" s="4">
        <v>5029408</v>
      </c>
      <c r="N15" s="442">
        <v>5000000</v>
      </c>
      <c r="O15" s="4">
        <v>2000000</v>
      </c>
      <c r="P15" s="4">
        <v>2529408</v>
      </c>
      <c r="Q15" s="435">
        <v>2500000</v>
      </c>
      <c r="R15" s="4"/>
      <c r="S15" s="4">
        <v>2500000</v>
      </c>
      <c r="T15" s="4">
        <v>0</v>
      </c>
      <c r="U15" s="4">
        <v>5000000</v>
      </c>
      <c r="V15" s="4"/>
      <c r="W15" s="4">
        <v>5000000</v>
      </c>
      <c r="X15" s="4"/>
      <c r="Y15" s="4"/>
      <c r="Z15" s="4"/>
      <c r="AA15" s="3"/>
      <c r="AB15" s="3" t="s">
        <v>591</v>
      </c>
      <c r="AC15" s="3">
        <v>742000</v>
      </c>
    </row>
    <row r="16" spans="1:29" ht="40.049999999999997" customHeight="1">
      <c r="A16" s="3">
        <f t="shared" si="0"/>
        <v>12</v>
      </c>
      <c r="B16" s="3">
        <v>1504</v>
      </c>
      <c r="C16" s="3" t="s">
        <v>70</v>
      </c>
      <c r="D16" s="4">
        <v>2500000</v>
      </c>
      <c r="E16" s="4">
        <v>2500000</v>
      </c>
      <c r="F16" s="4">
        <v>0</v>
      </c>
      <c r="G16" s="4">
        <v>1600000</v>
      </c>
      <c r="H16" s="4">
        <v>1480431.58</v>
      </c>
      <c r="I16" s="4">
        <v>0</v>
      </c>
      <c r="J16" s="4">
        <v>64690</v>
      </c>
      <c r="K16" s="4">
        <v>64690</v>
      </c>
      <c r="L16" s="4">
        <v>1545121.58</v>
      </c>
      <c r="M16" s="4">
        <v>54878.419999999925</v>
      </c>
      <c r="N16" s="4">
        <v>300000</v>
      </c>
      <c r="O16" s="4">
        <v>600000</v>
      </c>
      <c r="P16" s="4">
        <v>54878.419999999925</v>
      </c>
      <c r="Q16" s="4"/>
      <c r="R16" s="4"/>
      <c r="S16" s="4">
        <v>0</v>
      </c>
      <c r="T16" s="4">
        <v>0</v>
      </c>
      <c r="U16" s="4">
        <v>300000</v>
      </c>
      <c r="V16" s="4"/>
      <c r="W16" s="154">
        <v>300000</v>
      </c>
      <c r="X16" s="4"/>
      <c r="Y16" s="4"/>
      <c r="Z16" s="4"/>
      <c r="AA16" s="4"/>
      <c r="AB16" s="3" t="s">
        <v>437</v>
      </c>
      <c r="AC16" s="3">
        <v>746000</v>
      </c>
    </row>
    <row r="17" spans="1:29" ht="69">
      <c r="A17" s="3">
        <f t="shared" si="0"/>
        <v>13</v>
      </c>
      <c r="B17" s="3">
        <v>1560</v>
      </c>
      <c r="C17" s="3" t="s">
        <v>49</v>
      </c>
      <c r="D17" s="4">
        <v>9060000</v>
      </c>
      <c r="E17" s="4">
        <v>7510000</v>
      </c>
      <c r="F17" s="4">
        <v>1550000</v>
      </c>
      <c r="G17" s="4">
        <v>6810000</v>
      </c>
      <c r="H17" s="4">
        <v>6336410</v>
      </c>
      <c r="I17" s="4">
        <v>0</v>
      </c>
      <c r="J17" s="4">
        <v>358304</v>
      </c>
      <c r="K17" s="4">
        <v>358304</v>
      </c>
      <c r="L17" s="4">
        <v>6694714</v>
      </c>
      <c r="M17" s="4">
        <v>615286</v>
      </c>
      <c r="N17" s="4">
        <v>1750000</v>
      </c>
      <c r="O17" s="4">
        <v>0</v>
      </c>
      <c r="P17" s="4">
        <v>115286</v>
      </c>
      <c r="Q17" s="435">
        <v>500000</v>
      </c>
      <c r="R17" s="4"/>
      <c r="S17" s="4">
        <v>500000</v>
      </c>
      <c r="T17" s="4">
        <v>0</v>
      </c>
      <c r="U17" s="4">
        <v>1750000</v>
      </c>
      <c r="V17" s="4"/>
      <c r="W17" s="4">
        <v>1750000</v>
      </c>
      <c r="X17" s="4"/>
      <c r="Y17" s="4"/>
      <c r="Z17" s="4"/>
      <c r="AA17" s="3"/>
      <c r="AB17" s="3" t="s">
        <v>1429</v>
      </c>
      <c r="AC17" s="3">
        <v>746000</v>
      </c>
    </row>
    <row r="18" spans="1:29" ht="40.049999999999997" customHeight="1">
      <c r="A18" s="3">
        <f t="shared" si="0"/>
        <v>14</v>
      </c>
      <c r="B18" s="153">
        <v>1621</v>
      </c>
      <c r="C18" s="153" t="s">
        <v>50</v>
      </c>
      <c r="D18" s="154">
        <v>6030000</v>
      </c>
      <c r="E18" s="154">
        <v>6030000</v>
      </c>
      <c r="F18" s="154">
        <v>0</v>
      </c>
      <c r="G18" s="154">
        <v>2800000</v>
      </c>
      <c r="H18" s="154">
        <v>2174410</v>
      </c>
      <c r="I18" s="154">
        <v>0</v>
      </c>
      <c r="J18" s="154">
        <v>442301</v>
      </c>
      <c r="K18" s="4">
        <v>442301</v>
      </c>
      <c r="L18" s="4">
        <v>2616711</v>
      </c>
      <c r="M18" s="4">
        <v>1083289</v>
      </c>
      <c r="N18" s="336">
        <v>700000</v>
      </c>
      <c r="O18" s="4">
        <v>1630000</v>
      </c>
      <c r="P18" s="154">
        <v>183289</v>
      </c>
      <c r="Q18" s="435">
        <v>900000</v>
      </c>
      <c r="R18" s="154"/>
      <c r="S18" s="4">
        <v>900000</v>
      </c>
      <c r="T18" s="154">
        <v>0</v>
      </c>
      <c r="U18" s="4">
        <v>700000</v>
      </c>
      <c r="V18" s="154"/>
      <c r="W18" s="154">
        <v>700000</v>
      </c>
      <c r="X18" s="154"/>
      <c r="Y18" s="154"/>
      <c r="Z18" s="154"/>
      <c r="AA18" s="153"/>
      <c r="AB18" s="242" t="s">
        <v>704</v>
      </c>
      <c r="AC18" s="153">
        <v>723000</v>
      </c>
    </row>
    <row r="19" spans="1:29" ht="40.049999999999997" customHeight="1">
      <c r="A19" s="3">
        <f t="shared" si="0"/>
        <v>15</v>
      </c>
      <c r="B19" s="3">
        <v>1680</v>
      </c>
      <c r="C19" s="3" t="s">
        <v>71</v>
      </c>
      <c r="D19" s="4">
        <v>1700000</v>
      </c>
      <c r="E19" s="4">
        <v>1300000</v>
      </c>
      <c r="F19" s="4">
        <v>400000</v>
      </c>
      <c r="G19" s="4">
        <v>1300000</v>
      </c>
      <c r="H19" s="4">
        <v>838562.79</v>
      </c>
      <c r="I19" s="4">
        <v>0</v>
      </c>
      <c r="J19" s="4">
        <v>210237.77</v>
      </c>
      <c r="K19" s="4">
        <v>210237.77</v>
      </c>
      <c r="L19" s="4">
        <v>1048800.56</v>
      </c>
      <c r="M19" s="4">
        <v>251199.43999999994</v>
      </c>
      <c r="N19" s="4">
        <v>400000</v>
      </c>
      <c r="O19" s="4">
        <v>0</v>
      </c>
      <c r="P19" s="4">
        <v>251199.43999999994</v>
      </c>
      <c r="Q19" s="435"/>
      <c r="R19" s="4"/>
      <c r="S19" s="4">
        <v>0</v>
      </c>
      <c r="T19" s="4">
        <v>0</v>
      </c>
      <c r="U19" s="4">
        <v>400000</v>
      </c>
      <c r="V19" s="4"/>
      <c r="W19" s="154">
        <v>400000</v>
      </c>
      <c r="X19" s="4"/>
      <c r="Y19" s="4"/>
      <c r="Z19" s="4"/>
      <c r="AA19" s="4"/>
      <c r="AB19" s="3" t="s">
        <v>520</v>
      </c>
      <c r="AC19" s="3">
        <v>746000</v>
      </c>
    </row>
    <row r="20" spans="1:29" ht="40.049999999999997" customHeight="1">
      <c r="A20" s="3">
        <f t="shared" si="0"/>
        <v>16</v>
      </c>
      <c r="B20" s="3">
        <v>1848</v>
      </c>
      <c r="C20" s="3" t="s">
        <v>891</v>
      </c>
      <c r="D20" s="4">
        <v>1900000</v>
      </c>
      <c r="E20" s="4">
        <v>1600000</v>
      </c>
      <c r="F20" s="4">
        <v>300000</v>
      </c>
      <c r="G20" s="4">
        <v>1450000</v>
      </c>
      <c r="H20" s="4">
        <v>1118840</v>
      </c>
      <c r="I20" s="4">
        <v>0</v>
      </c>
      <c r="J20" s="4">
        <v>290463</v>
      </c>
      <c r="K20" s="4">
        <v>290463</v>
      </c>
      <c r="L20" s="4">
        <v>1409303</v>
      </c>
      <c r="M20" s="4">
        <v>190697</v>
      </c>
      <c r="N20" s="4">
        <v>200000</v>
      </c>
      <c r="O20" s="4">
        <v>100000</v>
      </c>
      <c r="P20" s="4">
        <v>40697</v>
      </c>
      <c r="Q20" s="435">
        <v>150000</v>
      </c>
      <c r="R20" s="4"/>
      <c r="S20" s="4">
        <v>150000</v>
      </c>
      <c r="T20" s="4">
        <v>0</v>
      </c>
      <c r="U20" s="4">
        <v>200000</v>
      </c>
      <c r="V20" s="4"/>
      <c r="W20" s="4">
        <v>200000</v>
      </c>
      <c r="X20" s="4"/>
      <c r="Y20" s="4"/>
      <c r="Z20" s="4"/>
      <c r="AA20" s="3"/>
      <c r="AB20" s="3" t="s">
        <v>705</v>
      </c>
      <c r="AC20" s="3">
        <v>742000</v>
      </c>
    </row>
    <row r="21" spans="1:29" ht="40.049999999999997" customHeight="1">
      <c r="A21" s="3">
        <f t="shared" si="0"/>
        <v>17</v>
      </c>
      <c r="B21" s="3">
        <v>1850</v>
      </c>
      <c r="C21" s="3" t="s">
        <v>451</v>
      </c>
      <c r="D21" s="4">
        <v>14600000</v>
      </c>
      <c r="E21" s="4">
        <v>14600000</v>
      </c>
      <c r="F21" s="4">
        <v>0</v>
      </c>
      <c r="G21" s="4">
        <v>5900000</v>
      </c>
      <c r="H21" s="4">
        <v>5715472</v>
      </c>
      <c r="I21" s="4">
        <v>0</v>
      </c>
      <c r="J21" s="4">
        <v>180322</v>
      </c>
      <c r="K21" s="4">
        <v>180322</v>
      </c>
      <c r="L21" s="4">
        <v>5895794</v>
      </c>
      <c r="M21" s="4">
        <v>4206</v>
      </c>
      <c r="N21" s="4">
        <v>800000</v>
      </c>
      <c r="O21" s="4">
        <v>7900000</v>
      </c>
      <c r="P21" s="4">
        <v>4206</v>
      </c>
      <c r="Q21" s="4"/>
      <c r="R21" s="4"/>
      <c r="S21" s="4">
        <v>0</v>
      </c>
      <c r="T21" s="4">
        <v>0</v>
      </c>
      <c r="U21" s="4">
        <v>800000</v>
      </c>
      <c r="V21" s="4"/>
      <c r="W21" s="4">
        <v>800000</v>
      </c>
      <c r="X21" s="4"/>
      <c r="Y21" s="4"/>
      <c r="Z21" s="4"/>
      <c r="AA21" s="3"/>
      <c r="AB21" s="3" t="s">
        <v>1408</v>
      </c>
      <c r="AC21" s="3">
        <v>810000</v>
      </c>
    </row>
    <row r="22" spans="1:29" ht="40.049999999999997" customHeight="1">
      <c r="A22" s="3">
        <f t="shared" si="0"/>
        <v>18</v>
      </c>
      <c r="B22" s="3">
        <v>1883</v>
      </c>
      <c r="C22" s="3" t="s">
        <v>112</v>
      </c>
      <c r="D22" s="4">
        <v>27245000</v>
      </c>
      <c r="E22" s="4">
        <v>27245000</v>
      </c>
      <c r="F22" s="4">
        <v>0</v>
      </c>
      <c r="G22" s="4">
        <v>26215000</v>
      </c>
      <c r="H22" s="4">
        <v>26214141</v>
      </c>
      <c r="I22" s="4">
        <v>0</v>
      </c>
      <c r="J22" s="4">
        <v>0</v>
      </c>
      <c r="K22" s="4">
        <v>0</v>
      </c>
      <c r="L22" s="4">
        <v>26214141</v>
      </c>
      <c r="M22" s="4">
        <v>859</v>
      </c>
      <c r="N22" s="4"/>
      <c r="O22" s="4">
        <v>1030000</v>
      </c>
      <c r="P22" s="4">
        <v>859</v>
      </c>
      <c r="Q22" s="4"/>
      <c r="R22" s="4"/>
      <c r="S22" s="4">
        <v>0</v>
      </c>
      <c r="T22" s="4">
        <v>0</v>
      </c>
      <c r="U22" s="4">
        <v>0</v>
      </c>
      <c r="V22" s="4"/>
      <c r="W22" s="4">
        <v>0</v>
      </c>
      <c r="X22" s="4"/>
      <c r="Y22" s="4"/>
      <c r="Z22" s="4"/>
      <c r="AA22" s="3"/>
      <c r="AB22" s="3" t="s">
        <v>504</v>
      </c>
      <c r="AC22" s="3">
        <v>810000</v>
      </c>
    </row>
    <row r="23" spans="1:29" ht="40.049999999999997" customHeight="1">
      <c r="A23" s="3">
        <f t="shared" si="0"/>
        <v>19</v>
      </c>
      <c r="B23" s="3">
        <v>1887</v>
      </c>
      <c r="C23" s="3" t="s">
        <v>113</v>
      </c>
      <c r="D23" s="4">
        <v>5200000</v>
      </c>
      <c r="E23" s="4">
        <v>5200000</v>
      </c>
      <c r="F23" s="4">
        <v>0</v>
      </c>
      <c r="G23" s="4">
        <v>1760000</v>
      </c>
      <c r="H23" s="4">
        <v>1379255</v>
      </c>
      <c r="I23" s="4">
        <v>332775</v>
      </c>
      <c r="J23" s="4">
        <v>0</v>
      </c>
      <c r="K23" s="4">
        <v>332775</v>
      </c>
      <c r="L23" s="4">
        <v>1712030</v>
      </c>
      <c r="M23" s="4">
        <v>47970</v>
      </c>
      <c r="N23" s="4">
        <v>900000</v>
      </c>
      <c r="O23" s="4">
        <v>2540000</v>
      </c>
      <c r="P23" s="4">
        <v>47970</v>
      </c>
      <c r="Q23" s="4"/>
      <c r="R23" s="4"/>
      <c r="S23" s="4">
        <v>0</v>
      </c>
      <c r="T23" s="4">
        <v>0</v>
      </c>
      <c r="U23" s="4">
        <v>900000</v>
      </c>
      <c r="V23" s="4"/>
      <c r="W23" s="4">
        <v>900000</v>
      </c>
      <c r="X23" s="4"/>
      <c r="Y23" s="4"/>
      <c r="Z23" s="4"/>
      <c r="AA23" s="3"/>
      <c r="AB23" s="3" t="s">
        <v>938</v>
      </c>
      <c r="AC23" s="3">
        <v>810000</v>
      </c>
    </row>
    <row r="24" spans="1:29" ht="40.049999999999997" customHeight="1">
      <c r="A24" s="3">
        <f t="shared" si="0"/>
        <v>20</v>
      </c>
      <c r="B24" s="3">
        <v>1899</v>
      </c>
      <c r="C24" s="3" t="s">
        <v>125</v>
      </c>
      <c r="D24" s="4">
        <v>670000</v>
      </c>
      <c r="E24" s="4">
        <v>670000</v>
      </c>
      <c r="F24" s="4">
        <v>0</v>
      </c>
      <c r="G24" s="4">
        <v>670000</v>
      </c>
      <c r="H24" s="4">
        <v>451255</v>
      </c>
      <c r="I24" s="4">
        <v>0</v>
      </c>
      <c r="J24" s="4">
        <v>212497</v>
      </c>
      <c r="K24" s="4">
        <v>212497</v>
      </c>
      <c r="L24" s="4">
        <v>663752</v>
      </c>
      <c r="M24" s="4">
        <v>6248</v>
      </c>
      <c r="N24" s="4"/>
      <c r="O24" s="4">
        <v>0</v>
      </c>
      <c r="P24" s="4">
        <v>6248</v>
      </c>
      <c r="Q24" s="4"/>
      <c r="R24" s="4"/>
      <c r="S24" s="4">
        <v>0</v>
      </c>
      <c r="T24" s="4">
        <v>0</v>
      </c>
      <c r="U24" s="4">
        <v>0</v>
      </c>
      <c r="V24" s="4"/>
      <c r="W24" s="154">
        <v>0</v>
      </c>
      <c r="X24" s="4"/>
      <c r="Y24" s="4"/>
      <c r="Z24" s="4"/>
      <c r="AA24" s="4"/>
      <c r="AB24" s="59" t="s">
        <v>824</v>
      </c>
      <c r="AC24" s="3">
        <v>870000</v>
      </c>
    </row>
    <row r="25" spans="1:29" ht="40.049999999999997" customHeight="1">
      <c r="A25" s="3">
        <f t="shared" si="0"/>
        <v>21</v>
      </c>
      <c r="B25" s="3">
        <v>1900</v>
      </c>
      <c r="C25" s="3" t="s">
        <v>114</v>
      </c>
      <c r="D25" s="4">
        <v>600000</v>
      </c>
      <c r="E25" s="4">
        <v>600000</v>
      </c>
      <c r="F25" s="4">
        <v>0</v>
      </c>
      <c r="G25" s="4">
        <v>600000</v>
      </c>
      <c r="H25" s="4">
        <v>572915</v>
      </c>
      <c r="I25" s="4">
        <v>0</v>
      </c>
      <c r="J25" s="4">
        <v>0</v>
      </c>
      <c r="K25" s="4">
        <v>0</v>
      </c>
      <c r="L25" s="4">
        <v>572915</v>
      </c>
      <c r="M25" s="4">
        <v>27085</v>
      </c>
      <c r="N25" s="4"/>
      <c r="O25" s="4">
        <v>0</v>
      </c>
      <c r="P25" s="4">
        <v>27085</v>
      </c>
      <c r="Q25" s="4"/>
      <c r="R25" s="4"/>
      <c r="S25" s="4">
        <v>0</v>
      </c>
      <c r="T25" s="4">
        <v>0</v>
      </c>
      <c r="U25" s="4">
        <v>0</v>
      </c>
      <c r="V25" s="4"/>
      <c r="W25" s="4">
        <v>0</v>
      </c>
      <c r="X25" s="4"/>
      <c r="Y25" s="4"/>
      <c r="Z25" s="4"/>
      <c r="AA25" s="3"/>
      <c r="AB25" s="3" t="s">
        <v>825</v>
      </c>
      <c r="AC25" s="3">
        <v>810000</v>
      </c>
    </row>
    <row r="26" spans="1:29" ht="40.049999999999997" customHeight="1">
      <c r="A26" s="3">
        <f t="shared" si="0"/>
        <v>22</v>
      </c>
      <c r="B26" s="3">
        <v>1917</v>
      </c>
      <c r="C26" s="3" t="s">
        <v>115</v>
      </c>
      <c r="D26" s="4">
        <v>33701000</v>
      </c>
      <c r="E26" s="4">
        <v>76800000</v>
      </c>
      <c r="F26" s="4">
        <v>-43099000</v>
      </c>
      <c r="G26" s="4">
        <v>33701000</v>
      </c>
      <c r="H26" s="4">
        <v>28403693</v>
      </c>
      <c r="I26" s="4">
        <v>0</v>
      </c>
      <c r="J26" s="4">
        <v>5277774</v>
      </c>
      <c r="K26" s="4">
        <v>5277774</v>
      </c>
      <c r="L26" s="4">
        <v>33681467</v>
      </c>
      <c r="M26" s="4">
        <v>19533</v>
      </c>
      <c r="N26" s="4">
        <v>0</v>
      </c>
      <c r="O26" s="4">
        <v>0</v>
      </c>
      <c r="P26" s="4">
        <v>19533</v>
      </c>
      <c r="Q26" s="4"/>
      <c r="R26" s="4"/>
      <c r="S26" s="4">
        <v>0</v>
      </c>
      <c r="T26" s="4">
        <v>0</v>
      </c>
      <c r="U26" s="4">
        <v>0</v>
      </c>
      <c r="V26" s="4"/>
      <c r="W26" s="4">
        <v>0</v>
      </c>
      <c r="X26" s="4"/>
      <c r="Y26" s="4"/>
      <c r="Z26" s="4"/>
      <c r="AA26" s="3"/>
      <c r="AB26" s="3" t="s">
        <v>592</v>
      </c>
      <c r="AC26" s="3">
        <v>743000</v>
      </c>
    </row>
    <row r="27" spans="1:29" ht="40.049999999999997" customHeight="1">
      <c r="A27" s="3">
        <f t="shared" si="0"/>
        <v>23</v>
      </c>
      <c r="B27" s="3">
        <v>1947</v>
      </c>
      <c r="C27" s="3" t="s">
        <v>892</v>
      </c>
      <c r="D27" s="4">
        <v>2500000</v>
      </c>
      <c r="E27" s="4">
        <v>2500000</v>
      </c>
      <c r="F27" s="4">
        <v>0</v>
      </c>
      <c r="G27" s="4">
        <v>2500000</v>
      </c>
      <c r="H27" s="4">
        <v>239019</v>
      </c>
      <c r="I27" s="4">
        <v>844007</v>
      </c>
      <c r="J27" s="4">
        <v>682234</v>
      </c>
      <c r="K27" s="4">
        <v>1526241</v>
      </c>
      <c r="L27" s="4">
        <v>1765260</v>
      </c>
      <c r="M27" s="4">
        <v>734740</v>
      </c>
      <c r="N27" s="4"/>
      <c r="O27" s="4">
        <v>0</v>
      </c>
      <c r="P27" s="4">
        <v>734740</v>
      </c>
      <c r="Q27" s="4"/>
      <c r="R27" s="4"/>
      <c r="S27" s="4">
        <v>0</v>
      </c>
      <c r="T27" s="4">
        <v>0</v>
      </c>
      <c r="U27" s="4">
        <v>0</v>
      </c>
      <c r="V27" s="4"/>
      <c r="W27" s="4">
        <v>0</v>
      </c>
      <c r="X27" s="4"/>
      <c r="Y27" s="4"/>
      <c r="Z27" s="4"/>
      <c r="AA27" s="3"/>
      <c r="AB27" s="3" t="s">
        <v>1311</v>
      </c>
      <c r="AC27" s="3">
        <v>850000</v>
      </c>
    </row>
    <row r="28" spans="1:29" ht="40.049999999999997" customHeight="1">
      <c r="A28" s="3">
        <f t="shared" si="0"/>
        <v>24</v>
      </c>
      <c r="B28" s="3">
        <v>1966</v>
      </c>
      <c r="C28" s="3" t="s">
        <v>864</v>
      </c>
      <c r="D28" s="4">
        <v>1700000</v>
      </c>
      <c r="E28" s="4">
        <v>1700000</v>
      </c>
      <c r="F28" s="4">
        <v>0</v>
      </c>
      <c r="G28" s="4">
        <v>1700000</v>
      </c>
      <c r="H28" s="4">
        <v>1678903</v>
      </c>
      <c r="I28" s="4">
        <v>21096</v>
      </c>
      <c r="J28" s="4">
        <v>0</v>
      </c>
      <c r="K28" s="4">
        <v>21096</v>
      </c>
      <c r="L28" s="4">
        <v>1699999</v>
      </c>
      <c r="M28" s="4">
        <v>1</v>
      </c>
      <c r="N28" s="4"/>
      <c r="O28" s="4">
        <v>0</v>
      </c>
      <c r="P28" s="4">
        <v>1</v>
      </c>
      <c r="Q28" s="4"/>
      <c r="R28" s="4"/>
      <c r="S28" s="4">
        <v>0</v>
      </c>
      <c r="T28" s="4">
        <v>0</v>
      </c>
      <c r="U28" s="4">
        <v>0</v>
      </c>
      <c r="V28" s="4"/>
      <c r="W28" s="4">
        <v>0</v>
      </c>
      <c r="X28" s="4"/>
      <c r="Y28" s="4"/>
      <c r="Z28" s="4"/>
      <c r="AA28" s="3"/>
      <c r="AB28" s="3" t="s">
        <v>654</v>
      </c>
      <c r="AC28" s="3">
        <v>870000</v>
      </c>
    </row>
    <row r="29" spans="1:29" ht="40.049999999999997" customHeight="1">
      <c r="A29" s="3">
        <f t="shared" si="0"/>
        <v>25</v>
      </c>
      <c r="B29" s="3">
        <v>1967</v>
      </c>
      <c r="C29" s="3" t="s">
        <v>123</v>
      </c>
      <c r="D29" s="4">
        <v>12929000</v>
      </c>
      <c r="E29" s="4">
        <v>12929000</v>
      </c>
      <c r="F29" s="4">
        <v>0</v>
      </c>
      <c r="G29" s="4">
        <v>12529000</v>
      </c>
      <c r="H29" s="4">
        <v>4842895</v>
      </c>
      <c r="I29" s="4">
        <v>0</v>
      </c>
      <c r="J29" s="4">
        <v>6624095</v>
      </c>
      <c r="K29" s="4">
        <v>6624095</v>
      </c>
      <c r="L29" s="4">
        <v>11466990</v>
      </c>
      <c r="M29" s="4">
        <v>562010</v>
      </c>
      <c r="N29" s="4">
        <v>0</v>
      </c>
      <c r="O29" s="4">
        <v>900000</v>
      </c>
      <c r="P29" s="4">
        <v>1062010</v>
      </c>
      <c r="Q29" s="4"/>
      <c r="R29" s="4"/>
      <c r="S29" s="4">
        <v>0</v>
      </c>
      <c r="T29" s="4">
        <v>500000</v>
      </c>
      <c r="U29" s="4">
        <v>-500000</v>
      </c>
      <c r="V29" s="4">
        <v>-500000</v>
      </c>
      <c r="W29" s="4">
        <v>0</v>
      </c>
      <c r="X29" s="4"/>
      <c r="Y29" s="4"/>
      <c r="Z29" s="4"/>
      <c r="AA29" s="3"/>
      <c r="AB29" s="3" t="s">
        <v>655</v>
      </c>
      <c r="AC29" s="3">
        <v>810000</v>
      </c>
    </row>
    <row r="30" spans="1:29" ht="40.049999999999997" customHeight="1">
      <c r="A30" s="3">
        <f t="shared" si="0"/>
        <v>26</v>
      </c>
      <c r="B30" s="3">
        <v>1968</v>
      </c>
      <c r="C30" s="3" t="s">
        <v>1187</v>
      </c>
      <c r="D30" s="4">
        <v>2170000</v>
      </c>
      <c r="E30" s="4">
        <v>2170000</v>
      </c>
      <c r="F30" s="4">
        <v>0</v>
      </c>
      <c r="G30" s="4">
        <v>2170000</v>
      </c>
      <c r="H30" s="4">
        <v>1812735</v>
      </c>
      <c r="I30" s="4">
        <v>0</v>
      </c>
      <c r="J30" s="4">
        <v>7192</v>
      </c>
      <c r="K30" s="4">
        <v>7192</v>
      </c>
      <c r="L30" s="4">
        <v>1819927</v>
      </c>
      <c r="M30" s="4">
        <v>350073</v>
      </c>
      <c r="N30" s="4"/>
      <c r="O30" s="4">
        <v>0</v>
      </c>
      <c r="P30" s="4">
        <v>350073</v>
      </c>
      <c r="Q30" s="4"/>
      <c r="R30" s="4"/>
      <c r="S30" s="4">
        <v>0</v>
      </c>
      <c r="T30" s="4">
        <v>0</v>
      </c>
      <c r="U30" s="4">
        <v>0</v>
      </c>
      <c r="V30" s="4"/>
      <c r="W30" s="4">
        <v>0</v>
      </c>
      <c r="X30" s="4"/>
      <c r="Y30" s="4"/>
      <c r="Z30" s="4"/>
      <c r="AA30" s="3"/>
      <c r="AB30" s="384" t="s">
        <v>706</v>
      </c>
      <c r="AC30" s="384">
        <v>848500</v>
      </c>
    </row>
    <row r="31" spans="1:29" ht="40.049999999999997" customHeight="1">
      <c r="A31" s="3">
        <f t="shared" si="0"/>
        <v>27</v>
      </c>
      <c r="B31" s="3">
        <v>1970</v>
      </c>
      <c r="C31" s="3" t="s">
        <v>130</v>
      </c>
      <c r="D31" s="4">
        <v>32500000</v>
      </c>
      <c r="E31" s="4">
        <v>32500000</v>
      </c>
      <c r="F31" s="4">
        <v>0</v>
      </c>
      <c r="G31" s="4">
        <v>32500000</v>
      </c>
      <c r="H31" s="4">
        <v>32372422</v>
      </c>
      <c r="I31" s="4">
        <v>35837</v>
      </c>
      <c r="J31" s="4">
        <v>62753</v>
      </c>
      <c r="K31" s="4">
        <v>98590</v>
      </c>
      <c r="L31" s="4">
        <v>32471012</v>
      </c>
      <c r="M31" s="4">
        <v>28988</v>
      </c>
      <c r="N31" s="4"/>
      <c r="O31" s="4">
        <v>0</v>
      </c>
      <c r="P31" s="4">
        <v>28988</v>
      </c>
      <c r="Q31" s="4"/>
      <c r="R31" s="4"/>
      <c r="S31" s="4">
        <v>0</v>
      </c>
      <c r="T31" s="4">
        <v>0</v>
      </c>
      <c r="U31" s="4">
        <v>0</v>
      </c>
      <c r="V31" s="4"/>
      <c r="W31" s="4">
        <v>0</v>
      </c>
      <c r="X31" s="4"/>
      <c r="Y31" s="4"/>
      <c r="Z31" s="4"/>
      <c r="AA31" s="3"/>
      <c r="AB31" s="3" t="s">
        <v>1312</v>
      </c>
      <c r="AC31" s="3">
        <v>810000</v>
      </c>
    </row>
    <row r="32" spans="1:29" ht="40.049999999999997" customHeight="1">
      <c r="A32" s="3">
        <f t="shared" si="0"/>
        <v>28</v>
      </c>
      <c r="B32" s="3">
        <v>1973</v>
      </c>
      <c r="C32" s="3" t="s">
        <v>126</v>
      </c>
      <c r="D32" s="4">
        <v>2500000</v>
      </c>
      <c r="E32" s="4">
        <v>2500000</v>
      </c>
      <c r="F32" s="4">
        <v>0</v>
      </c>
      <c r="G32" s="4">
        <v>1950000</v>
      </c>
      <c r="H32" s="4">
        <v>1264790</v>
      </c>
      <c r="I32" s="4">
        <v>0</v>
      </c>
      <c r="J32" s="4">
        <v>460497</v>
      </c>
      <c r="K32" s="4">
        <v>460497</v>
      </c>
      <c r="L32" s="4">
        <v>1725287</v>
      </c>
      <c r="M32" s="4">
        <v>224713</v>
      </c>
      <c r="N32" s="4">
        <v>300000</v>
      </c>
      <c r="O32" s="4">
        <v>250000</v>
      </c>
      <c r="P32" s="4">
        <v>224713</v>
      </c>
      <c r="Q32" s="4"/>
      <c r="R32" s="4"/>
      <c r="S32" s="4">
        <v>0</v>
      </c>
      <c r="T32" s="4">
        <v>0</v>
      </c>
      <c r="U32" s="4">
        <v>300000</v>
      </c>
      <c r="V32" s="4"/>
      <c r="W32" s="154">
        <v>300000</v>
      </c>
      <c r="X32" s="4"/>
      <c r="Y32" s="4"/>
      <c r="Z32" s="4"/>
      <c r="AA32" s="4"/>
      <c r="AB32" s="3" t="s">
        <v>940</v>
      </c>
      <c r="AC32" s="3">
        <v>742000</v>
      </c>
    </row>
    <row r="33" spans="1:29" ht="40.049999999999997" customHeight="1">
      <c r="A33" s="3">
        <f t="shared" si="0"/>
        <v>29</v>
      </c>
      <c r="B33" s="3">
        <v>2028</v>
      </c>
      <c r="C33" s="3" t="s">
        <v>288</v>
      </c>
      <c r="D33" s="4">
        <v>2435000</v>
      </c>
      <c r="E33" s="4">
        <v>2435000</v>
      </c>
      <c r="F33" s="4">
        <v>0</v>
      </c>
      <c r="G33" s="4">
        <v>2435000</v>
      </c>
      <c r="H33" s="4">
        <v>2414757</v>
      </c>
      <c r="I33" s="4">
        <v>19766</v>
      </c>
      <c r="J33" s="4">
        <v>0</v>
      </c>
      <c r="K33" s="4">
        <v>19766</v>
      </c>
      <c r="L33" s="4">
        <v>2434523</v>
      </c>
      <c r="M33" s="4">
        <v>477</v>
      </c>
      <c r="N33" s="4"/>
      <c r="O33" s="4">
        <v>0</v>
      </c>
      <c r="P33" s="4">
        <v>477</v>
      </c>
      <c r="Q33" s="4"/>
      <c r="R33" s="4"/>
      <c r="S33" s="4">
        <v>0</v>
      </c>
      <c r="T33" s="4">
        <v>0</v>
      </c>
      <c r="U33" s="4">
        <v>0</v>
      </c>
      <c r="V33" s="4"/>
      <c r="W33" s="4">
        <v>0</v>
      </c>
      <c r="X33" s="4"/>
      <c r="Y33" s="4"/>
      <c r="Z33" s="4"/>
      <c r="AA33" s="3"/>
      <c r="AB33" s="3" t="s">
        <v>427</v>
      </c>
      <c r="AC33" s="3">
        <v>810000</v>
      </c>
    </row>
    <row r="34" spans="1:29" ht="40.049999999999997" customHeight="1">
      <c r="A34" s="3">
        <f t="shared" si="0"/>
        <v>30</v>
      </c>
      <c r="B34" s="3">
        <v>2030</v>
      </c>
      <c r="C34" s="3" t="s">
        <v>245</v>
      </c>
      <c r="D34" s="4">
        <v>31500000</v>
      </c>
      <c r="E34" s="4">
        <v>31500000</v>
      </c>
      <c r="F34" s="4">
        <v>0</v>
      </c>
      <c r="G34" s="4">
        <v>16421977</v>
      </c>
      <c r="H34" s="4">
        <v>7905443</v>
      </c>
      <c r="I34" s="4">
        <v>5118190</v>
      </c>
      <c r="J34" s="4">
        <v>116547</v>
      </c>
      <c r="K34" s="4">
        <v>5234737</v>
      </c>
      <c r="L34" s="4">
        <v>13140180</v>
      </c>
      <c r="M34" s="4">
        <v>3281797</v>
      </c>
      <c r="N34" s="442">
        <v>4700000</v>
      </c>
      <c r="O34" s="4">
        <v>10378023</v>
      </c>
      <c r="P34" s="4">
        <v>3281797</v>
      </c>
      <c r="Q34" s="4"/>
      <c r="R34" s="4"/>
      <c r="S34" s="4">
        <v>0</v>
      </c>
      <c r="T34" s="4">
        <v>0</v>
      </c>
      <c r="U34" s="4">
        <v>4700000</v>
      </c>
      <c r="V34" s="4"/>
      <c r="W34" s="4">
        <v>909061</v>
      </c>
      <c r="X34" s="4"/>
      <c r="Y34" s="4"/>
      <c r="Z34" s="4"/>
      <c r="AA34" s="4">
        <v>3790939</v>
      </c>
      <c r="AB34" s="3" t="s">
        <v>1428</v>
      </c>
      <c r="AC34" s="3">
        <v>810000</v>
      </c>
    </row>
    <row r="35" spans="1:29" ht="40.049999999999997" customHeight="1">
      <c r="A35" s="3">
        <f t="shared" si="0"/>
        <v>31</v>
      </c>
      <c r="B35" s="3">
        <v>2037</v>
      </c>
      <c r="C35" s="3" t="s">
        <v>403</v>
      </c>
      <c r="D35" s="4">
        <v>5000000</v>
      </c>
      <c r="E35" s="4">
        <v>5000000</v>
      </c>
      <c r="F35" s="4">
        <v>0</v>
      </c>
      <c r="G35" s="4">
        <v>1500000</v>
      </c>
      <c r="H35" s="4">
        <v>741383.86</v>
      </c>
      <c r="I35" s="4">
        <v>0</v>
      </c>
      <c r="J35" s="4">
        <v>372633.03</v>
      </c>
      <c r="K35" s="4">
        <v>372633.03</v>
      </c>
      <c r="L35" s="4">
        <v>1114016.8900000001</v>
      </c>
      <c r="M35" s="4">
        <v>685983.10999999987</v>
      </c>
      <c r="N35" s="4">
        <v>500000</v>
      </c>
      <c r="O35" s="4">
        <v>2700000</v>
      </c>
      <c r="P35" s="4">
        <v>385983.10999999987</v>
      </c>
      <c r="Q35" s="435">
        <v>300000</v>
      </c>
      <c r="R35" s="4"/>
      <c r="S35" s="4">
        <v>300000</v>
      </c>
      <c r="T35" s="4">
        <v>0</v>
      </c>
      <c r="U35" s="4">
        <v>500000</v>
      </c>
      <c r="V35" s="4"/>
      <c r="W35" s="154">
        <v>500000</v>
      </c>
      <c r="X35" s="4"/>
      <c r="Y35" s="4"/>
      <c r="Z35" s="4"/>
      <c r="AA35" s="4"/>
      <c r="AB35" s="3" t="s">
        <v>1313</v>
      </c>
      <c r="AC35" s="3">
        <v>870000</v>
      </c>
    </row>
    <row r="36" spans="1:29" ht="40.049999999999997" customHeight="1">
      <c r="A36" s="3">
        <f t="shared" si="0"/>
        <v>32</v>
      </c>
      <c r="B36" s="3">
        <v>2038</v>
      </c>
      <c r="C36" s="3" t="s">
        <v>438</v>
      </c>
      <c r="D36" s="4">
        <v>6000000</v>
      </c>
      <c r="E36" s="4">
        <v>4950000</v>
      </c>
      <c r="F36" s="4">
        <v>1050000</v>
      </c>
      <c r="G36" s="4">
        <v>4450000</v>
      </c>
      <c r="H36" s="4">
        <v>3639925.66</v>
      </c>
      <c r="I36" s="4">
        <v>0</v>
      </c>
      <c r="J36" s="4">
        <v>775562.61</v>
      </c>
      <c r="K36" s="4">
        <v>775562.61</v>
      </c>
      <c r="L36" s="4">
        <v>4415488.2700000005</v>
      </c>
      <c r="M36" s="4">
        <v>34511.729999999516</v>
      </c>
      <c r="N36" s="4">
        <v>800000</v>
      </c>
      <c r="O36" s="4">
        <v>750000</v>
      </c>
      <c r="P36" s="4">
        <v>34511.729999999516</v>
      </c>
      <c r="Q36" s="4"/>
      <c r="R36" s="4"/>
      <c r="S36" s="4">
        <v>0</v>
      </c>
      <c r="T36" s="4">
        <v>0</v>
      </c>
      <c r="U36" s="4">
        <v>800000</v>
      </c>
      <c r="V36" s="4"/>
      <c r="W36" s="154">
        <v>800000</v>
      </c>
      <c r="X36" s="4"/>
      <c r="Y36" s="4"/>
      <c r="Z36" s="4"/>
      <c r="AA36" s="4"/>
      <c r="AB36" s="3" t="s">
        <v>465</v>
      </c>
      <c r="AC36" s="3">
        <v>810000</v>
      </c>
    </row>
    <row r="37" spans="1:29" ht="40.049999999999997" customHeight="1">
      <c r="A37" s="3">
        <f t="shared" si="0"/>
        <v>33</v>
      </c>
      <c r="B37" s="3">
        <v>2039</v>
      </c>
      <c r="C37" s="3" t="s">
        <v>137</v>
      </c>
      <c r="D37" s="4">
        <v>535000</v>
      </c>
      <c r="E37" s="4">
        <v>535000</v>
      </c>
      <c r="F37" s="4">
        <v>0</v>
      </c>
      <c r="G37" s="4">
        <v>385000</v>
      </c>
      <c r="H37" s="4">
        <v>34999</v>
      </c>
      <c r="I37" s="4">
        <v>0</v>
      </c>
      <c r="J37" s="4">
        <v>145720.4</v>
      </c>
      <c r="K37" s="4">
        <v>145720.4</v>
      </c>
      <c r="L37" s="4">
        <v>180719.4</v>
      </c>
      <c r="M37" s="4">
        <v>354280.6</v>
      </c>
      <c r="N37" s="4">
        <v>0</v>
      </c>
      <c r="O37" s="4">
        <v>0</v>
      </c>
      <c r="P37" s="4">
        <v>204280.6</v>
      </c>
      <c r="Q37" s="435">
        <v>150000</v>
      </c>
      <c r="R37" s="4"/>
      <c r="S37" s="4">
        <v>150000</v>
      </c>
      <c r="T37" s="4">
        <v>0</v>
      </c>
      <c r="U37" s="4">
        <v>0</v>
      </c>
      <c r="V37" s="4"/>
      <c r="W37" s="154">
        <v>0</v>
      </c>
      <c r="X37" s="4"/>
      <c r="Y37" s="4"/>
      <c r="Z37" s="4"/>
      <c r="AA37" s="4"/>
      <c r="AB37" s="59" t="s">
        <v>584</v>
      </c>
      <c r="AC37" s="3">
        <v>760000</v>
      </c>
    </row>
    <row r="38" spans="1:29" ht="40.049999999999997" customHeight="1">
      <c r="A38" s="3">
        <f t="shared" si="0"/>
        <v>34</v>
      </c>
      <c r="B38" s="3">
        <v>2040</v>
      </c>
      <c r="C38" s="3" t="s">
        <v>301</v>
      </c>
      <c r="D38" s="4">
        <v>2710000</v>
      </c>
      <c r="E38" s="4">
        <v>1210000</v>
      </c>
      <c r="F38" s="4">
        <v>1500000</v>
      </c>
      <c r="G38" s="4">
        <v>1210000</v>
      </c>
      <c r="H38" s="4">
        <v>832911</v>
      </c>
      <c r="I38" s="4">
        <v>0</v>
      </c>
      <c r="J38" s="4">
        <v>0</v>
      </c>
      <c r="K38" s="4">
        <v>0</v>
      </c>
      <c r="L38" s="4">
        <v>832911</v>
      </c>
      <c r="M38" s="4">
        <v>377089</v>
      </c>
      <c r="N38" s="4">
        <v>700000</v>
      </c>
      <c r="O38" s="4">
        <v>800000</v>
      </c>
      <c r="P38" s="4">
        <v>377089</v>
      </c>
      <c r="Q38" s="4"/>
      <c r="R38" s="4"/>
      <c r="S38" s="4">
        <v>0</v>
      </c>
      <c r="T38" s="4">
        <v>0</v>
      </c>
      <c r="U38" s="4">
        <v>700000</v>
      </c>
      <c r="V38" s="4"/>
      <c r="W38" s="154">
        <v>700000</v>
      </c>
      <c r="X38" s="4"/>
      <c r="Y38" s="4"/>
      <c r="Z38" s="4"/>
      <c r="AA38" s="4"/>
      <c r="AB38" s="3" t="s">
        <v>598</v>
      </c>
      <c r="AC38" s="3">
        <v>829000</v>
      </c>
    </row>
    <row r="39" spans="1:29" ht="40.049999999999997" customHeight="1">
      <c r="A39" s="3">
        <f t="shared" si="0"/>
        <v>35</v>
      </c>
      <c r="B39" s="3">
        <v>2043</v>
      </c>
      <c r="C39" s="3" t="s">
        <v>445</v>
      </c>
      <c r="D39" s="4">
        <v>15350000</v>
      </c>
      <c r="E39" s="4">
        <v>10350000</v>
      </c>
      <c r="F39" s="4">
        <v>5000000</v>
      </c>
      <c r="G39" s="4">
        <v>10350000</v>
      </c>
      <c r="H39" s="4">
        <v>9873872.5299999993</v>
      </c>
      <c r="I39" s="4">
        <v>56624</v>
      </c>
      <c r="J39" s="4">
        <v>370430</v>
      </c>
      <c r="K39" s="4">
        <v>427054</v>
      </c>
      <c r="L39" s="4">
        <v>10300926.529999999</v>
      </c>
      <c r="M39" s="4">
        <v>49073.470000000671</v>
      </c>
      <c r="N39" s="4">
        <v>4500000</v>
      </c>
      <c r="O39" s="4">
        <v>500000</v>
      </c>
      <c r="P39" s="4">
        <v>49073.470000000671</v>
      </c>
      <c r="Q39" s="4"/>
      <c r="R39" s="4"/>
      <c r="S39" s="4">
        <v>0</v>
      </c>
      <c r="T39" s="4">
        <v>0</v>
      </c>
      <c r="U39" s="4">
        <v>4500000</v>
      </c>
      <c r="V39" s="4"/>
      <c r="W39" s="154">
        <v>4500000</v>
      </c>
      <c r="X39" s="4"/>
      <c r="Y39" s="4"/>
      <c r="Z39" s="4"/>
      <c r="AA39" s="4"/>
      <c r="AB39" s="3" t="s">
        <v>865</v>
      </c>
      <c r="AC39" s="3">
        <v>747000</v>
      </c>
    </row>
    <row r="40" spans="1:29" ht="40.049999999999997" customHeight="1">
      <c r="A40" s="3">
        <f t="shared" si="0"/>
        <v>36</v>
      </c>
      <c r="B40" s="3">
        <v>2044</v>
      </c>
      <c r="C40" s="3" t="s">
        <v>138</v>
      </c>
      <c r="D40" s="4">
        <v>105000</v>
      </c>
      <c r="E40" s="4">
        <v>105000</v>
      </c>
      <c r="F40" s="4">
        <v>0</v>
      </c>
      <c r="G40" s="4">
        <v>105000</v>
      </c>
      <c r="H40" s="4">
        <v>56160</v>
      </c>
      <c r="I40" s="4">
        <v>0</v>
      </c>
      <c r="J40" s="4">
        <v>0</v>
      </c>
      <c r="K40" s="4">
        <v>0</v>
      </c>
      <c r="L40" s="4">
        <v>56160</v>
      </c>
      <c r="M40" s="4">
        <v>48840</v>
      </c>
      <c r="N40" s="4"/>
      <c r="O40" s="4">
        <v>0</v>
      </c>
      <c r="P40" s="4">
        <v>48840</v>
      </c>
      <c r="Q40" s="4"/>
      <c r="R40" s="4"/>
      <c r="S40" s="4">
        <v>0</v>
      </c>
      <c r="T40" s="4">
        <v>0</v>
      </c>
      <c r="U40" s="4">
        <v>0</v>
      </c>
      <c r="V40" s="4"/>
      <c r="W40" s="154">
        <v>0</v>
      </c>
      <c r="X40" s="4"/>
      <c r="Y40" s="4"/>
      <c r="Z40" s="4"/>
      <c r="AA40" s="4"/>
      <c r="AB40" s="3" t="s">
        <v>629</v>
      </c>
      <c r="AC40" s="3">
        <v>747000</v>
      </c>
    </row>
    <row r="41" spans="1:29" ht="40.049999999999997" customHeight="1">
      <c r="A41" s="3">
        <f t="shared" si="0"/>
        <v>37</v>
      </c>
      <c r="B41" s="3">
        <v>2047</v>
      </c>
      <c r="C41" s="3" t="s">
        <v>303</v>
      </c>
      <c r="D41" s="4">
        <v>170000</v>
      </c>
      <c r="E41" s="4">
        <v>170000</v>
      </c>
      <c r="F41" s="4">
        <v>0</v>
      </c>
      <c r="G41" s="4">
        <v>170000</v>
      </c>
      <c r="H41" s="4">
        <v>170000</v>
      </c>
      <c r="I41" s="4">
        <v>0</v>
      </c>
      <c r="J41" s="4">
        <v>0</v>
      </c>
      <c r="K41" s="4">
        <v>0</v>
      </c>
      <c r="L41" s="4">
        <v>170000</v>
      </c>
      <c r="M41" s="4">
        <v>0</v>
      </c>
      <c r="N41" s="4"/>
      <c r="O41" s="4">
        <v>0</v>
      </c>
      <c r="P41" s="4">
        <v>0</v>
      </c>
      <c r="Q41" s="4"/>
      <c r="R41" s="4"/>
      <c r="S41" s="4">
        <v>0</v>
      </c>
      <c r="T41" s="4">
        <v>0</v>
      </c>
      <c r="U41" s="4">
        <v>0</v>
      </c>
      <c r="V41" s="4"/>
      <c r="W41" s="154">
        <v>0</v>
      </c>
      <c r="X41" s="4"/>
      <c r="Y41" s="4"/>
      <c r="Z41" s="4"/>
      <c r="AA41" s="4"/>
      <c r="AB41" s="3" t="s">
        <v>526</v>
      </c>
      <c r="AC41" s="3">
        <v>747000</v>
      </c>
    </row>
    <row r="42" spans="1:29" ht="40.049999999999997" customHeight="1">
      <c r="A42" s="3">
        <f t="shared" si="0"/>
        <v>38</v>
      </c>
      <c r="B42" s="3">
        <v>2063</v>
      </c>
      <c r="C42" s="3" t="s">
        <v>289</v>
      </c>
      <c r="D42" s="4">
        <v>2500000</v>
      </c>
      <c r="E42" s="4">
        <v>2300000</v>
      </c>
      <c r="F42" s="4">
        <v>200000</v>
      </c>
      <c r="G42" s="4">
        <v>2400000</v>
      </c>
      <c r="H42" s="4">
        <v>510740</v>
      </c>
      <c r="I42" s="4">
        <v>1708229</v>
      </c>
      <c r="J42" s="4">
        <v>67139</v>
      </c>
      <c r="K42" s="4">
        <v>1775368</v>
      </c>
      <c r="L42" s="4">
        <v>2286108</v>
      </c>
      <c r="M42" s="4">
        <v>13892</v>
      </c>
      <c r="N42" s="4">
        <v>100000</v>
      </c>
      <c r="O42" s="4">
        <v>100000</v>
      </c>
      <c r="P42" s="4">
        <v>113892</v>
      </c>
      <c r="Q42" s="4"/>
      <c r="R42" s="435">
        <v>-100000</v>
      </c>
      <c r="S42" s="4">
        <v>-100000</v>
      </c>
      <c r="T42" s="4">
        <v>0</v>
      </c>
      <c r="U42" s="4">
        <v>100000</v>
      </c>
      <c r="V42" s="4"/>
      <c r="W42" s="4">
        <v>100000</v>
      </c>
      <c r="X42" s="4"/>
      <c r="Y42" s="4"/>
      <c r="Z42" s="4"/>
      <c r="AA42" s="3"/>
      <c r="AB42" s="3" t="s">
        <v>593</v>
      </c>
      <c r="AC42" s="3">
        <v>810000</v>
      </c>
    </row>
    <row r="43" spans="1:29" ht="40.049999999999997" customHeight="1">
      <c r="A43" s="3">
        <f t="shared" si="0"/>
        <v>39</v>
      </c>
      <c r="B43" s="230">
        <v>2071</v>
      </c>
      <c r="C43" s="3" t="s">
        <v>295</v>
      </c>
      <c r="D43" s="4">
        <v>300000</v>
      </c>
      <c r="E43" s="4">
        <v>300000</v>
      </c>
      <c r="F43" s="4">
        <v>0</v>
      </c>
      <c r="G43" s="4">
        <v>300000</v>
      </c>
      <c r="H43" s="4">
        <v>278080</v>
      </c>
      <c r="I43" s="4">
        <v>0</v>
      </c>
      <c r="J43" s="4">
        <v>0</v>
      </c>
      <c r="K43" s="4">
        <v>0</v>
      </c>
      <c r="L43" s="4">
        <v>278080</v>
      </c>
      <c r="M43" s="4">
        <v>21920</v>
      </c>
      <c r="N43" s="4"/>
      <c r="O43" s="4">
        <v>0</v>
      </c>
      <c r="P43" s="4">
        <v>21920</v>
      </c>
      <c r="Q43" s="4"/>
      <c r="R43" s="4"/>
      <c r="S43" s="4">
        <v>0</v>
      </c>
      <c r="T43" s="4">
        <v>0</v>
      </c>
      <c r="U43" s="4">
        <v>0</v>
      </c>
      <c r="V43" s="4"/>
      <c r="W43" s="4">
        <v>0</v>
      </c>
      <c r="X43" s="4"/>
      <c r="Y43" s="4"/>
      <c r="Z43" s="4"/>
      <c r="AA43" s="3"/>
      <c r="AB43" s="3" t="s">
        <v>426</v>
      </c>
      <c r="AC43" s="3">
        <v>810000</v>
      </c>
    </row>
    <row r="44" spans="1:29" ht="40.049999999999997" customHeight="1">
      <c r="A44" s="3">
        <f t="shared" si="0"/>
        <v>40</v>
      </c>
      <c r="B44" s="245">
        <v>2094</v>
      </c>
      <c r="C44" s="153" t="s">
        <v>291</v>
      </c>
      <c r="D44" s="154">
        <v>1000000</v>
      </c>
      <c r="E44" s="154">
        <v>1000000</v>
      </c>
      <c r="F44" s="154">
        <v>0</v>
      </c>
      <c r="G44" s="154">
        <v>300000</v>
      </c>
      <c r="H44" s="154">
        <v>277735</v>
      </c>
      <c r="I44" s="154">
        <v>0</v>
      </c>
      <c r="J44" s="154">
        <v>15210</v>
      </c>
      <c r="K44" s="4">
        <v>15210</v>
      </c>
      <c r="L44" s="4">
        <v>292945</v>
      </c>
      <c r="M44" s="4">
        <v>7055</v>
      </c>
      <c r="N44" s="4">
        <v>0</v>
      </c>
      <c r="O44" s="4">
        <v>700000</v>
      </c>
      <c r="P44" s="154">
        <v>7055</v>
      </c>
      <c r="Q44" s="154"/>
      <c r="R44" s="154"/>
      <c r="S44" s="154">
        <v>0</v>
      </c>
      <c r="T44" s="154">
        <v>0</v>
      </c>
      <c r="U44" s="4">
        <v>0</v>
      </c>
      <c r="V44" s="154"/>
      <c r="W44" s="154">
        <v>0</v>
      </c>
      <c r="X44" s="154"/>
      <c r="Y44" s="154"/>
      <c r="Z44" s="154"/>
      <c r="AA44" s="153"/>
      <c r="AB44" s="242" t="s">
        <v>839</v>
      </c>
      <c r="AC44" s="153">
        <v>720000</v>
      </c>
    </row>
    <row r="45" spans="1:29" ht="40.049999999999997" customHeight="1">
      <c r="A45" s="3">
        <f t="shared" si="0"/>
        <v>41</v>
      </c>
      <c r="B45" s="3">
        <v>2095</v>
      </c>
      <c r="C45" s="3" t="s">
        <v>290</v>
      </c>
      <c r="D45" s="4">
        <v>210000</v>
      </c>
      <c r="E45" s="4">
        <v>160000</v>
      </c>
      <c r="F45" s="4">
        <v>50000</v>
      </c>
      <c r="G45" s="4">
        <v>160000</v>
      </c>
      <c r="H45" s="4">
        <v>40365</v>
      </c>
      <c r="I45" s="4">
        <v>0</v>
      </c>
      <c r="J45" s="4">
        <v>0</v>
      </c>
      <c r="K45" s="4">
        <v>0</v>
      </c>
      <c r="L45" s="4">
        <v>40365</v>
      </c>
      <c r="M45" s="4">
        <v>119635</v>
      </c>
      <c r="N45" s="4">
        <v>50000</v>
      </c>
      <c r="O45" s="4">
        <v>0</v>
      </c>
      <c r="P45" s="4">
        <v>119635</v>
      </c>
      <c r="Q45" s="4"/>
      <c r="R45" s="4"/>
      <c r="S45" s="4">
        <v>0</v>
      </c>
      <c r="T45" s="4">
        <v>0</v>
      </c>
      <c r="U45" s="4">
        <v>50000</v>
      </c>
      <c r="V45" s="4"/>
      <c r="W45" s="4">
        <v>50000</v>
      </c>
      <c r="X45" s="4"/>
      <c r="Y45" s="4"/>
      <c r="Z45" s="4"/>
      <c r="AA45" s="3"/>
      <c r="AB45" s="3" t="s">
        <v>594</v>
      </c>
      <c r="AC45" s="3">
        <v>610000</v>
      </c>
    </row>
    <row r="46" spans="1:29" ht="40.049999999999997" customHeight="1">
      <c r="A46" s="3">
        <f t="shared" si="0"/>
        <v>42</v>
      </c>
      <c r="B46" s="3">
        <v>2125</v>
      </c>
      <c r="C46" s="3" t="s">
        <v>304</v>
      </c>
      <c r="D46" s="4">
        <v>146923</v>
      </c>
      <c r="E46" s="4">
        <v>146923</v>
      </c>
      <c r="F46" s="4">
        <v>0</v>
      </c>
      <c r="G46" s="4">
        <v>146923</v>
      </c>
      <c r="H46" s="4">
        <v>146923</v>
      </c>
      <c r="I46" s="4">
        <v>0</v>
      </c>
      <c r="J46" s="4">
        <v>0</v>
      </c>
      <c r="K46" s="4">
        <v>0</v>
      </c>
      <c r="L46" s="4">
        <v>146923</v>
      </c>
      <c r="M46" s="4">
        <v>0</v>
      </c>
      <c r="N46" s="4"/>
      <c r="O46" s="4">
        <v>0</v>
      </c>
      <c r="P46" s="4">
        <v>0</v>
      </c>
      <c r="Q46" s="4"/>
      <c r="R46" s="4"/>
      <c r="S46" s="4">
        <v>0</v>
      </c>
      <c r="T46" s="4">
        <v>0</v>
      </c>
      <c r="U46" s="4">
        <v>0</v>
      </c>
      <c r="V46" s="4"/>
      <c r="W46" s="154">
        <v>0</v>
      </c>
      <c r="X46" s="4"/>
      <c r="Y46" s="4"/>
      <c r="Z46" s="4"/>
      <c r="AA46" s="4"/>
      <c r="AB46" s="3" t="s">
        <v>631</v>
      </c>
      <c r="AC46" s="3">
        <v>747000</v>
      </c>
    </row>
    <row r="47" spans="1:29" ht="40.049999999999997" customHeight="1">
      <c r="A47" s="3">
        <f t="shared" si="0"/>
        <v>43</v>
      </c>
      <c r="B47" s="3">
        <v>2131</v>
      </c>
      <c r="C47" s="3" t="s">
        <v>467</v>
      </c>
      <c r="D47" s="4">
        <v>7500000</v>
      </c>
      <c r="E47" s="4">
        <v>7500000</v>
      </c>
      <c r="F47" s="4">
        <v>0</v>
      </c>
      <c r="G47" s="4">
        <v>4020000</v>
      </c>
      <c r="H47" s="4">
        <v>3815119</v>
      </c>
      <c r="I47" s="4">
        <v>189143</v>
      </c>
      <c r="J47" s="4">
        <v>9170</v>
      </c>
      <c r="K47" s="4">
        <v>198313</v>
      </c>
      <c r="L47" s="4">
        <v>4013432</v>
      </c>
      <c r="M47" s="4">
        <v>6568</v>
      </c>
      <c r="N47" s="4"/>
      <c r="O47" s="4">
        <v>3480000</v>
      </c>
      <c r="P47" s="4">
        <v>6568</v>
      </c>
      <c r="Q47" s="4"/>
      <c r="R47" s="4"/>
      <c r="S47" s="4">
        <v>0</v>
      </c>
      <c r="T47" s="4">
        <v>0</v>
      </c>
      <c r="U47" s="4">
        <v>0</v>
      </c>
      <c r="V47" s="4"/>
      <c r="W47" s="4">
        <v>0</v>
      </c>
      <c r="X47" s="4"/>
      <c r="Y47" s="4"/>
      <c r="Z47" s="4"/>
      <c r="AA47" s="3"/>
      <c r="AB47" s="3" t="s">
        <v>627</v>
      </c>
      <c r="AC47" s="3">
        <v>870000</v>
      </c>
    </row>
    <row r="48" spans="1:29" ht="40.049999999999997" customHeight="1">
      <c r="A48" s="3">
        <f t="shared" si="0"/>
        <v>44</v>
      </c>
      <c r="B48" s="3">
        <v>2133</v>
      </c>
      <c r="C48" s="3" t="s">
        <v>407</v>
      </c>
      <c r="D48" s="4">
        <v>5150000</v>
      </c>
      <c r="E48" s="4">
        <v>5150000</v>
      </c>
      <c r="F48" s="4">
        <v>0</v>
      </c>
      <c r="G48" s="4">
        <v>3150000</v>
      </c>
      <c r="H48" s="4">
        <v>2457812</v>
      </c>
      <c r="I48" s="4">
        <v>0</v>
      </c>
      <c r="J48" s="4">
        <v>115638</v>
      </c>
      <c r="K48" s="4">
        <v>115638</v>
      </c>
      <c r="L48" s="4">
        <v>2573450</v>
      </c>
      <c r="M48" s="4">
        <v>11550</v>
      </c>
      <c r="N48" s="4">
        <v>365000</v>
      </c>
      <c r="O48" s="4">
        <v>2200000</v>
      </c>
      <c r="P48" s="4">
        <v>576550</v>
      </c>
      <c r="Q48" s="4"/>
      <c r="R48" s="4"/>
      <c r="S48" s="4">
        <v>0</v>
      </c>
      <c r="T48" s="4">
        <v>565000</v>
      </c>
      <c r="U48" s="4">
        <v>-200000</v>
      </c>
      <c r="V48" s="4"/>
      <c r="W48" s="4">
        <v>-200000</v>
      </c>
      <c r="X48" s="4"/>
      <c r="Y48" s="4"/>
      <c r="Z48" s="4"/>
      <c r="AA48" s="3"/>
      <c r="AB48" s="3" t="s">
        <v>1409</v>
      </c>
      <c r="AC48" s="3">
        <v>930000</v>
      </c>
    </row>
    <row r="49" spans="1:29" ht="40.049999999999997" customHeight="1">
      <c r="A49" s="3">
        <f t="shared" si="0"/>
        <v>45</v>
      </c>
      <c r="B49" s="3">
        <v>2136</v>
      </c>
      <c r="C49" s="3" t="s">
        <v>409</v>
      </c>
      <c r="D49" s="4">
        <v>55226</v>
      </c>
      <c r="E49" s="4">
        <v>55226</v>
      </c>
      <c r="F49" s="4">
        <v>0</v>
      </c>
      <c r="G49" s="4">
        <v>55226</v>
      </c>
      <c r="H49" s="4">
        <v>55226</v>
      </c>
      <c r="I49" s="4">
        <v>0</v>
      </c>
      <c r="J49" s="4">
        <v>0</v>
      </c>
      <c r="K49" s="4">
        <v>0</v>
      </c>
      <c r="L49" s="4">
        <v>55226</v>
      </c>
      <c r="M49" s="4">
        <v>0</v>
      </c>
      <c r="N49" s="4"/>
      <c r="O49" s="4">
        <v>0</v>
      </c>
      <c r="P49" s="4">
        <v>0</v>
      </c>
      <c r="Q49" s="4"/>
      <c r="R49" s="4"/>
      <c r="S49" s="4">
        <v>0</v>
      </c>
      <c r="T49" s="4">
        <v>0</v>
      </c>
      <c r="U49" s="4">
        <v>0</v>
      </c>
      <c r="V49" s="4"/>
      <c r="W49" s="154">
        <v>0</v>
      </c>
      <c r="X49" s="4"/>
      <c r="Y49" s="4"/>
      <c r="Z49" s="4"/>
      <c r="AA49" s="4"/>
      <c r="AB49" s="3" t="s">
        <v>632</v>
      </c>
      <c r="AC49" s="3">
        <v>747000</v>
      </c>
    </row>
    <row r="50" spans="1:29" ht="40.049999999999997" customHeight="1">
      <c r="A50" s="3">
        <f t="shared" si="0"/>
        <v>46</v>
      </c>
      <c r="B50" s="3">
        <v>2137</v>
      </c>
      <c r="C50" s="3" t="s">
        <v>410</v>
      </c>
      <c r="D50" s="4">
        <v>50000</v>
      </c>
      <c r="E50" s="4">
        <v>50000</v>
      </c>
      <c r="F50" s="4">
        <v>0</v>
      </c>
      <c r="G50" s="4">
        <v>50000</v>
      </c>
      <c r="H50" s="4">
        <v>49966</v>
      </c>
      <c r="I50" s="4">
        <v>0</v>
      </c>
      <c r="J50" s="4">
        <v>0</v>
      </c>
      <c r="K50" s="4">
        <v>0</v>
      </c>
      <c r="L50" s="4">
        <v>49966</v>
      </c>
      <c r="M50" s="4">
        <v>34</v>
      </c>
      <c r="N50" s="4"/>
      <c r="O50" s="4">
        <v>0</v>
      </c>
      <c r="P50" s="4">
        <v>34</v>
      </c>
      <c r="Q50" s="4"/>
      <c r="R50" s="4"/>
      <c r="S50" s="4">
        <v>0</v>
      </c>
      <c r="T50" s="4">
        <v>0</v>
      </c>
      <c r="U50" s="4">
        <v>0</v>
      </c>
      <c r="V50" s="4"/>
      <c r="W50" s="154">
        <v>0</v>
      </c>
      <c r="X50" s="4"/>
      <c r="Y50" s="4"/>
      <c r="Z50" s="4"/>
      <c r="AA50" s="4"/>
      <c r="AB50" s="3" t="s">
        <v>633</v>
      </c>
      <c r="AC50" s="3">
        <v>747000</v>
      </c>
    </row>
    <row r="51" spans="1:29" ht="40.049999999999997" customHeight="1">
      <c r="A51" s="3">
        <f t="shared" si="0"/>
        <v>47</v>
      </c>
      <c r="B51" s="3">
        <v>2138</v>
      </c>
      <c r="C51" s="3" t="s">
        <v>411</v>
      </c>
      <c r="D51" s="4">
        <v>80000</v>
      </c>
      <c r="E51" s="4">
        <v>80000</v>
      </c>
      <c r="F51" s="4">
        <v>0</v>
      </c>
      <c r="G51" s="4">
        <v>80000</v>
      </c>
      <c r="H51" s="4">
        <v>0</v>
      </c>
      <c r="I51" s="4">
        <v>0</v>
      </c>
      <c r="J51" s="4">
        <v>80000</v>
      </c>
      <c r="K51" s="4">
        <v>80000</v>
      </c>
      <c r="L51" s="4">
        <v>80000</v>
      </c>
      <c r="M51" s="4">
        <v>0</v>
      </c>
      <c r="N51" s="4"/>
      <c r="O51" s="4">
        <v>0</v>
      </c>
      <c r="P51" s="4">
        <v>0</v>
      </c>
      <c r="Q51" s="4"/>
      <c r="R51" s="4"/>
      <c r="S51" s="4">
        <v>0</v>
      </c>
      <c r="T51" s="4">
        <v>0</v>
      </c>
      <c r="U51" s="4">
        <v>0</v>
      </c>
      <c r="V51" s="4"/>
      <c r="W51" s="154">
        <v>0</v>
      </c>
      <c r="X51" s="4"/>
      <c r="Y51" s="4"/>
      <c r="Z51" s="4"/>
      <c r="AA51" s="4"/>
      <c r="AB51" s="3" t="s">
        <v>633</v>
      </c>
      <c r="AC51" s="3">
        <v>747000</v>
      </c>
    </row>
    <row r="52" spans="1:29" ht="40.049999999999997" customHeight="1">
      <c r="A52" s="3">
        <f t="shared" si="0"/>
        <v>48</v>
      </c>
      <c r="B52" s="3">
        <v>2140</v>
      </c>
      <c r="C52" s="3" t="s">
        <v>486</v>
      </c>
      <c r="D52" s="4">
        <v>360000</v>
      </c>
      <c r="E52" s="4">
        <v>360000</v>
      </c>
      <c r="F52" s="4">
        <v>0</v>
      </c>
      <c r="G52" s="4">
        <v>360000</v>
      </c>
      <c r="H52" s="4">
        <v>283122</v>
      </c>
      <c r="I52" s="4">
        <v>0</v>
      </c>
      <c r="J52" s="4">
        <v>0</v>
      </c>
      <c r="K52" s="4">
        <v>0</v>
      </c>
      <c r="L52" s="4">
        <v>283122</v>
      </c>
      <c r="M52" s="4">
        <v>76878</v>
      </c>
      <c r="N52" s="4"/>
      <c r="O52" s="4">
        <v>0</v>
      </c>
      <c r="P52" s="4">
        <v>76878</v>
      </c>
      <c r="Q52" s="4"/>
      <c r="R52" s="4"/>
      <c r="S52" s="4">
        <v>0</v>
      </c>
      <c r="T52" s="4">
        <v>0</v>
      </c>
      <c r="U52" s="4">
        <v>0</v>
      </c>
      <c r="V52" s="4"/>
      <c r="W52" s="4">
        <v>0</v>
      </c>
      <c r="X52" s="4"/>
      <c r="Y52" s="4"/>
      <c r="Z52" s="4"/>
      <c r="AA52" s="3"/>
      <c r="AB52" s="3" t="s">
        <v>507</v>
      </c>
      <c r="AC52" s="3">
        <v>810000</v>
      </c>
    </row>
    <row r="53" spans="1:29" ht="40.049999999999997" customHeight="1">
      <c r="A53" s="3">
        <f t="shared" si="0"/>
        <v>49</v>
      </c>
      <c r="B53" s="3">
        <v>2154</v>
      </c>
      <c r="C53" s="3" t="s">
        <v>487</v>
      </c>
      <c r="D53" s="4">
        <v>10500000</v>
      </c>
      <c r="E53" s="4">
        <v>10500000</v>
      </c>
      <c r="F53" s="4">
        <v>0</v>
      </c>
      <c r="G53" s="4">
        <v>750000</v>
      </c>
      <c r="H53" s="4">
        <v>133002</v>
      </c>
      <c r="I53" s="4">
        <v>0</v>
      </c>
      <c r="J53" s="4">
        <v>175239</v>
      </c>
      <c r="K53" s="4">
        <v>175239</v>
      </c>
      <c r="L53" s="4">
        <v>308241</v>
      </c>
      <c r="M53" s="4">
        <v>441759</v>
      </c>
      <c r="N53" s="4"/>
      <c r="O53" s="4">
        <v>9750000</v>
      </c>
      <c r="P53" s="4">
        <v>441759</v>
      </c>
      <c r="Q53" s="4"/>
      <c r="R53" s="4"/>
      <c r="S53" s="4">
        <v>0</v>
      </c>
      <c r="T53" s="4">
        <v>0</v>
      </c>
      <c r="U53" s="4">
        <v>0</v>
      </c>
      <c r="V53" s="4"/>
      <c r="W53" s="4">
        <v>0</v>
      </c>
      <c r="X53" s="4"/>
      <c r="Y53" s="4"/>
      <c r="Z53" s="4"/>
      <c r="AA53" s="4"/>
      <c r="AB53" s="3" t="s">
        <v>1314</v>
      </c>
      <c r="AC53" s="3">
        <v>870000</v>
      </c>
    </row>
    <row r="54" spans="1:29" ht="40.049999999999997" customHeight="1">
      <c r="A54" s="3">
        <f t="shared" si="0"/>
        <v>50</v>
      </c>
      <c r="B54" s="3">
        <v>2156</v>
      </c>
      <c r="C54" s="3" t="s">
        <v>431</v>
      </c>
      <c r="D54" s="4">
        <v>2700000</v>
      </c>
      <c r="E54" s="4">
        <v>1600000</v>
      </c>
      <c r="F54" s="4">
        <v>1100000</v>
      </c>
      <c r="G54" s="4">
        <v>700000</v>
      </c>
      <c r="H54" s="4">
        <v>301893</v>
      </c>
      <c r="I54" s="4">
        <v>0</v>
      </c>
      <c r="J54" s="4">
        <v>192689</v>
      </c>
      <c r="K54" s="4">
        <v>192689</v>
      </c>
      <c r="L54" s="4">
        <v>494582</v>
      </c>
      <c r="M54" s="4">
        <v>205418</v>
      </c>
      <c r="N54" s="4">
        <v>0</v>
      </c>
      <c r="O54" s="4">
        <v>2000000</v>
      </c>
      <c r="P54" s="4">
        <v>205418</v>
      </c>
      <c r="Q54" s="435">
        <v>0</v>
      </c>
      <c r="R54" s="4"/>
      <c r="S54" s="4">
        <v>0</v>
      </c>
      <c r="T54" s="4">
        <v>0</v>
      </c>
      <c r="U54" s="4">
        <v>0</v>
      </c>
      <c r="V54" s="4"/>
      <c r="W54" s="4">
        <v>0</v>
      </c>
      <c r="X54" s="4"/>
      <c r="Y54" s="4"/>
      <c r="Z54" s="4"/>
      <c r="AA54" s="3"/>
      <c r="AB54" s="3" t="s">
        <v>708</v>
      </c>
      <c r="AC54" s="3">
        <v>720000</v>
      </c>
    </row>
    <row r="55" spans="1:29" ht="40.049999999999997" customHeight="1">
      <c r="A55" s="3">
        <f t="shared" si="0"/>
        <v>51</v>
      </c>
      <c r="B55" s="3">
        <v>2157</v>
      </c>
      <c r="C55" s="3" t="s">
        <v>488</v>
      </c>
      <c r="D55" s="4">
        <v>5200000</v>
      </c>
      <c r="E55" s="4">
        <v>5200000</v>
      </c>
      <c r="F55" s="4">
        <v>0</v>
      </c>
      <c r="G55" s="4">
        <v>150000</v>
      </c>
      <c r="H55" s="4">
        <v>0</v>
      </c>
      <c r="I55" s="4">
        <v>0</v>
      </c>
      <c r="J55" s="4">
        <v>42554</v>
      </c>
      <c r="K55" s="4">
        <v>42554</v>
      </c>
      <c r="L55" s="4">
        <v>42554</v>
      </c>
      <c r="M55" s="4">
        <v>7446</v>
      </c>
      <c r="N55" s="442">
        <v>420000</v>
      </c>
      <c r="O55" s="4">
        <v>4730000</v>
      </c>
      <c r="P55" s="4">
        <v>107446</v>
      </c>
      <c r="Q55" s="4"/>
      <c r="R55" s="443">
        <v>-100000</v>
      </c>
      <c r="S55" s="4">
        <v>-100000</v>
      </c>
      <c r="T55" s="4">
        <v>0</v>
      </c>
      <c r="U55" s="4">
        <v>420000</v>
      </c>
      <c r="V55" s="4"/>
      <c r="W55" s="4">
        <v>420000</v>
      </c>
      <c r="X55" s="4"/>
      <c r="Y55" s="4"/>
      <c r="Z55" s="4"/>
      <c r="AA55" s="3"/>
      <c r="AB55" s="3" t="s">
        <v>466</v>
      </c>
      <c r="AC55" s="3">
        <v>810000</v>
      </c>
    </row>
    <row r="56" spans="1:29" ht="40.049999999999997" customHeight="1">
      <c r="A56" s="3">
        <f t="shared" si="0"/>
        <v>52</v>
      </c>
      <c r="B56" s="28">
        <v>2165</v>
      </c>
      <c r="C56" s="3" t="s">
        <v>709</v>
      </c>
      <c r="D56" s="4">
        <v>1600000</v>
      </c>
      <c r="E56" s="4">
        <v>1040000</v>
      </c>
      <c r="F56" s="4">
        <v>560000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1600000</v>
      </c>
      <c r="P56" s="4">
        <v>0</v>
      </c>
      <c r="Q56" s="4"/>
      <c r="R56" s="4"/>
      <c r="S56" s="4">
        <v>0</v>
      </c>
      <c r="T56" s="4">
        <v>0</v>
      </c>
      <c r="U56" s="4">
        <v>0</v>
      </c>
      <c r="V56" s="4"/>
      <c r="W56" s="154">
        <v>0</v>
      </c>
      <c r="X56" s="4"/>
      <c r="Y56" s="4"/>
      <c r="Z56" s="4"/>
      <c r="AA56" s="4"/>
      <c r="AB56" s="3" t="s">
        <v>912</v>
      </c>
      <c r="AC56" s="3">
        <v>746000</v>
      </c>
    </row>
    <row r="57" spans="1:29" ht="40.049999999999997" customHeight="1">
      <c r="A57" s="3">
        <f t="shared" si="0"/>
        <v>53</v>
      </c>
      <c r="B57" s="28">
        <v>2166</v>
      </c>
      <c r="C57" s="3" t="s">
        <v>441</v>
      </c>
      <c r="D57" s="4">
        <v>500000</v>
      </c>
      <c r="E57" s="4">
        <v>500000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500000</v>
      </c>
      <c r="O57" s="4">
        <v>0</v>
      </c>
      <c r="P57" s="4">
        <v>0</v>
      </c>
      <c r="Q57" s="4"/>
      <c r="R57" s="4"/>
      <c r="S57" s="4">
        <v>0</v>
      </c>
      <c r="T57" s="4">
        <v>0</v>
      </c>
      <c r="U57" s="4">
        <v>500000</v>
      </c>
      <c r="V57" s="4"/>
      <c r="W57" s="154">
        <v>500000</v>
      </c>
      <c r="X57" s="4"/>
      <c r="Y57" s="4"/>
      <c r="Z57" s="4"/>
      <c r="AA57" s="4"/>
      <c r="AB57" s="3" t="s">
        <v>827</v>
      </c>
      <c r="AC57" s="3">
        <v>746000</v>
      </c>
    </row>
    <row r="58" spans="1:29" ht="40.049999999999997" customHeight="1">
      <c r="A58" s="3">
        <f t="shared" si="0"/>
        <v>54</v>
      </c>
      <c r="B58" s="28">
        <v>2167</v>
      </c>
      <c r="C58" s="3" t="s">
        <v>442</v>
      </c>
      <c r="D58" s="4">
        <v>1400000</v>
      </c>
      <c r="E58" s="4">
        <v>1400000</v>
      </c>
      <c r="F58" s="4">
        <v>0</v>
      </c>
      <c r="G58" s="4">
        <v>100000</v>
      </c>
      <c r="H58" s="4">
        <v>1170</v>
      </c>
      <c r="I58" s="4">
        <v>0</v>
      </c>
      <c r="J58" s="4">
        <v>91455</v>
      </c>
      <c r="K58" s="4">
        <v>91455</v>
      </c>
      <c r="L58" s="4">
        <v>92625</v>
      </c>
      <c r="M58" s="4">
        <v>7375</v>
      </c>
      <c r="N58" s="4"/>
      <c r="O58" s="4">
        <v>1300000</v>
      </c>
      <c r="P58" s="4">
        <v>7375</v>
      </c>
      <c r="Q58" s="4"/>
      <c r="R58" s="4"/>
      <c r="S58" s="4">
        <v>0</v>
      </c>
      <c r="T58" s="4">
        <v>0</v>
      </c>
      <c r="U58" s="4">
        <v>0</v>
      </c>
      <c r="V58" s="4"/>
      <c r="W58" s="154">
        <v>0</v>
      </c>
      <c r="X58" s="4"/>
      <c r="Y58" s="4"/>
      <c r="Z58" s="4"/>
      <c r="AA58" s="4"/>
      <c r="AB58" s="3" t="s">
        <v>1315</v>
      </c>
      <c r="AC58" s="3">
        <v>742000</v>
      </c>
    </row>
    <row r="59" spans="1:29" ht="40.049999999999997" customHeight="1">
      <c r="A59" s="3">
        <f t="shared" si="0"/>
        <v>55</v>
      </c>
      <c r="B59" s="3">
        <v>2177</v>
      </c>
      <c r="C59" s="3" t="s">
        <v>675</v>
      </c>
      <c r="D59" s="4">
        <v>12500000</v>
      </c>
      <c r="E59" s="4">
        <v>12500000</v>
      </c>
      <c r="F59" s="4">
        <v>0</v>
      </c>
      <c r="G59" s="4">
        <v>12500000</v>
      </c>
      <c r="H59" s="4">
        <v>12000101</v>
      </c>
      <c r="I59" s="4">
        <v>254817</v>
      </c>
      <c r="J59" s="4">
        <v>236993</v>
      </c>
      <c r="K59" s="4">
        <v>491810</v>
      </c>
      <c r="L59" s="4">
        <v>12491911</v>
      </c>
      <c r="M59" s="4">
        <v>8089</v>
      </c>
      <c r="N59" s="4"/>
      <c r="O59" s="4">
        <v>0</v>
      </c>
      <c r="P59" s="4">
        <v>8089</v>
      </c>
      <c r="Q59" s="4"/>
      <c r="R59" s="4"/>
      <c r="S59" s="4">
        <v>0</v>
      </c>
      <c r="T59" s="4">
        <v>0</v>
      </c>
      <c r="U59" s="4">
        <v>0</v>
      </c>
      <c r="V59" s="4"/>
      <c r="W59" s="4">
        <v>0</v>
      </c>
      <c r="X59" s="4"/>
      <c r="Y59" s="4"/>
      <c r="Z59" s="4"/>
      <c r="AA59" s="3"/>
      <c r="AB59" s="3" t="s">
        <v>829</v>
      </c>
      <c r="AC59" s="3">
        <v>810000</v>
      </c>
    </row>
    <row r="60" spans="1:29" ht="55.2">
      <c r="A60" s="3">
        <f t="shared" si="0"/>
        <v>56</v>
      </c>
      <c r="B60" s="3">
        <v>2178</v>
      </c>
      <c r="C60" s="3" t="s">
        <v>489</v>
      </c>
      <c r="D60" s="4">
        <v>15700000</v>
      </c>
      <c r="E60" s="4">
        <v>2100000</v>
      </c>
      <c r="F60" s="4">
        <v>13600000</v>
      </c>
      <c r="G60" s="4">
        <v>1700000</v>
      </c>
      <c r="H60" s="4">
        <v>1658344</v>
      </c>
      <c r="I60" s="4">
        <v>0</v>
      </c>
      <c r="J60" s="4">
        <v>761</v>
      </c>
      <c r="K60" s="4">
        <v>761</v>
      </c>
      <c r="L60" s="4">
        <v>1659105</v>
      </c>
      <c r="M60" s="4">
        <v>40895</v>
      </c>
      <c r="N60" s="4">
        <v>6000000</v>
      </c>
      <c r="O60" s="4">
        <v>8000000</v>
      </c>
      <c r="P60" s="4">
        <v>40895</v>
      </c>
      <c r="Q60" s="4"/>
      <c r="R60" s="4"/>
      <c r="S60" s="4">
        <v>0</v>
      </c>
      <c r="T60" s="4">
        <v>0</v>
      </c>
      <c r="U60" s="4">
        <v>6000000</v>
      </c>
      <c r="V60" s="4"/>
      <c r="W60" s="4">
        <v>6000000</v>
      </c>
      <c r="X60" s="4"/>
      <c r="Y60" s="4"/>
      <c r="Z60" s="4"/>
      <c r="AA60" s="4"/>
      <c r="AB60" s="3" t="s">
        <v>1432</v>
      </c>
      <c r="AC60" s="3">
        <v>810000</v>
      </c>
    </row>
    <row r="61" spans="1:29" ht="40.049999999999997" customHeight="1">
      <c r="A61" s="3">
        <f t="shared" si="0"/>
        <v>57</v>
      </c>
      <c r="B61" s="28">
        <v>2181</v>
      </c>
      <c r="C61" s="3" t="s">
        <v>491</v>
      </c>
      <c r="D61" s="4">
        <v>1259000</v>
      </c>
      <c r="E61" s="4">
        <v>1259000</v>
      </c>
      <c r="F61" s="4">
        <v>0</v>
      </c>
      <c r="G61" s="4">
        <v>1259000</v>
      </c>
      <c r="H61" s="4">
        <v>1235965</v>
      </c>
      <c r="I61" s="4">
        <v>0</v>
      </c>
      <c r="J61" s="4">
        <v>0</v>
      </c>
      <c r="K61" s="4">
        <v>0</v>
      </c>
      <c r="L61" s="4">
        <v>1235965</v>
      </c>
      <c r="M61" s="4">
        <v>23035</v>
      </c>
      <c r="N61" s="4"/>
      <c r="O61" s="4">
        <v>0</v>
      </c>
      <c r="P61" s="4">
        <v>23035</v>
      </c>
      <c r="Q61" s="4"/>
      <c r="R61" s="4"/>
      <c r="S61" s="4">
        <v>0</v>
      </c>
      <c r="T61" s="4">
        <v>0</v>
      </c>
      <c r="U61" s="4">
        <v>0</v>
      </c>
      <c r="V61" s="4"/>
      <c r="W61" s="154">
        <v>0</v>
      </c>
      <c r="X61" s="4"/>
      <c r="Y61" s="4"/>
      <c r="Z61" s="4"/>
      <c r="AA61" s="4"/>
      <c r="AB61" s="3" t="s">
        <v>523</v>
      </c>
      <c r="AC61" s="3">
        <v>747000</v>
      </c>
    </row>
    <row r="62" spans="1:29" ht="40.049999999999997" customHeight="1">
      <c r="A62" s="3">
        <f t="shared" si="0"/>
        <v>58</v>
      </c>
      <c r="B62" s="3">
        <v>2187</v>
      </c>
      <c r="C62" s="3" t="s">
        <v>505</v>
      </c>
      <c r="D62" s="4">
        <v>10600000</v>
      </c>
      <c r="E62" s="4">
        <v>10600000</v>
      </c>
      <c r="F62" s="4">
        <v>0</v>
      </c>
      <c r="G62" s="4">
        <v>10600000</v>
      </c>
      <c r="H62" s="4">
        <v>8755527</v>
      </c>
      <c r="I62" s="4">
        <v>344565</v>
      </c>
      <c r="J62" s="4">
        <v>590972</v>
      </c>
      <c r="K62" s="4">
        <v>935537</v>
      </c>
      <c r="L62" s="4">
        <v>9691064</v>
      </c>
      <c r="M62" s="4">
        <v>908936</v>
      </c>
      <c r="N62" s="4"/>
      <c r="O62" s="4">
        <v>0</v>
      </c>
      <c r="P62" s="4">
        <v>908936</v>
      </c>
      <c r="Q62" s="4"/>
      <c r="R62" s="4"/>
      <c r="S62" s="4">
        <v>0</v>
      </c>
      <c r="T62" s="4">
        <v>0</v>
      </c>
      <c r="U62" s="4">
        <v>0</v>
      </c>
      <c r="V62" s="4"/>
      <c r="W62" s="4">
        <v>0</v>
      </c>
      <c r="X62" s="4"/>
      <c r="Y62" s="4"/>
      <c r="Z62" s="4"/>
      <c r="AA62" s="3"/>
      <c r="AB62" s="3" t="s">
        <v>506</v>
      </c>
      <c r="AC62" s="3">
        <v>810000</v>
      </c>
    </row>
    <row r="63" spans="1:29" ht="40.049999999999997" customHeight="1">
      <c r="A63" s="3">
        <f t="shared" si="0"/>
        <v>59</v>
      </c>
      <c r="B63" s="230">
        <v>2211</v>
      </c>
      <c r="C63" s="3" t="s">
        <v>893</v>
      </c>
      <c r="D63" s="4">
        <v>800000</v>
      </c>
      <c r="E63" s="426">
        <v>800000</v>
      </c>
      <c r="F63" s="4">
        <v>0</v>
      </c>
      <c r="G63" s="426">
        <v>800000</v>
      </c>
      <c r="H63" s="426">
        <v>715023</v>
      </c>
      <c r="I63" s="426">
        <v>44227</v>
      </c>
      <c r="J63" s="426">
        <v>0</v>
      </c>
      <c r="K63" s="4">
        <v>44227</v>
      </c>
      <c r="L63" s="4">
        <v>759250</v>
      </c>
      <c r="M63" s="4">
        <v>40750</v>
      </c>
      <c r="N63" s="4"/>
      <c r="O63" s="4">
        <v>0</v>
      </c>
      <c r="P63" s="4">
        <v>40750</v>
      </c>
      <c r="Q63" s="426"/>
      <c r="R63" s="426"/>
      <c r="S63" s="4">
        <v>0</v>
      </c>
      <c r="T63" s="4">
        <v>0</v>
      </c>
      <c r="U63" s="4">
        <v>0</v>
      </c>
      <c r="V63" s="4"/>
      <c r="W63" s="4">
        <v>0</v>
      </c>
      <c r="X63" s="230"/>
      <c r="Y63" s="230"/>
      <c r="Z63" s="230"/>
      <c r="AA63" s="230"/>
      <c r="AB63" s="3" t="s">
        <v>859</v>
      </c>
      <c r="AC63" s="3">
        <v>810000</v>
      </c>
    </row>
    <row r="64" spans="1:29" ht="40.049999999999997" customHeight="1">
      <c r="A64" s="3">
        <f t="shared" si="0"/>
        <v>60</v>
      </c>
      <c r="B64" s="230">
        <v>2214</v>
      </c>
      <c r="C64" s="3" t="s">
        <v>509</v>
      </c>
      <c r="D64" s="4">
        <v>200000</v>
      </c>
      <c r="E64" s="4">
        <v>200000</v>
      </c>
      <c r="F64" s="4">
        <v>0</v>
      </c>
      <c r="G64" s="18">
        <v>200000</v>
      </c>
      <c r="H64" s="18">
        <v>68461</v>
      </c>
      <c r="I64" s="18">
        <v>0</v>
      </c>
      <c r="J64" s="18">
        <v>87645</v>
      </c>
      <c r="K64" s="4">
        <v>87645</v>
      </c>
      <c r="L64" s="4">
        <v>156106</v>
      </c>
      <c r="M64" s="4">
        <v>43894</v>
      </c>
      <c r="N64" s="4">
        <v>0</v>
      </c>
      <c r="O64" s="4">
        <v>0</v>
      </c>
      <c r="P64" s="4">
        <v>43894</v>
      </c>
      <c r="Q64" s="18"/>
      <c r="R64" s="18"/>
      <c r="S64" s="4">
        <v>0</v>
      </c>
      <c r="T64" s="4">
        <v>0</v>
      </c>
      <c r="U64" s="4">
        <v>0</v>
      </c>
      <c r="V64" s="4"/>
      <c r="W64" s="4">
        <v>0</v>
      </c>
      <c r="X64" s="4"/>
      <c r="Y64" s="4"/>
      <c r="Z64" s="4"/>
      <c r="AA64" s="4"/>
      <c r="AB64" s="3" t="s">
        <v>1316</v>
      </c>
      <c r="AC64" s="3">
        <v>930000</v>
      </c>
    </row>
    <row r="65" spans="1:29" ht="40.049999999999997" customHeight="1">
      <c r="A65" s="3">
        <f t="shared" si="0"/>
        <v>61</v>
      </c>
      <c r="B65" s="230">
        <v>2215</v>
      </c>
      <c r="C65" s="3" t="s">
        <v>511</v>
      </c>
      <c r="D65" s="4">
        <v>420000</v>
      </c>
      <c r="E65" s="4">
        <v>420000</v>
      </c>
      <c r="F65" s="4">
        <v>0</v>
      </c>
      <c r="G65" s="18">
        <v>420000</v>
      </c>
      <c r="H65" s="18">
        <v>383635</v>
      </c>
      <c r="I65" s="18">
        <v>0</v>
      </c>
      <c r="J65" s="18">
        <v>0</v>
      </c>
      <c r="K65" s="4">
        <v>0</v>
      </c>
      <c r="L65" s="4">
        <v>383635</v>
      </c>
      <c r="M65" s="4">
        <v>36365</v>
      </c>
      <c r="N65" s="4"/>
      <c r="O65" s="4">
        <v>0</v>
      </c>
      <c r="P65" s="4">
        <v>36365</v>
      </c>
      <c r="Q65" s="18"/>
      <c r="R65" s="18"/>
      <c r="S65" s="4">
        <v>0</v>
      </c>
      <c r="T65" s="4">
        <v>0</v>
      </c>
      <c r="U65" s="4">
        <v>0</v>
      </c>
      <c r="V65" s="4"/>
      <c r="W65" s="4">
        <v>0</v>
      </c>
      <c r="X65" s="4"/>
      <c r="Y65" s="4"/>
      <c r="Z65" s="4"/>
      <c r="AA65" s="4"/>
      <c r="AB65" s="3" t="s">
        <v>512</v>
      </c>
      <c r="AC65" s="3">
        <v>810000</v>
      </c>
    </row>
    <row r="66" spans="1:29" ht="40.049999999999997" customHeight="1">
      <c r="A66" s="3">
        <f t="shared" si="0"/>
        <v>62</v>
      </c>
      <c r="B66" s="28">
        <v>2216</v>
      </c>
      <c r="C66" s="3" t="s">
        <v>515</v>
      </c>
      <c r="D66" s="4">
        <v>4400000</v>
      </c>
      <c r="E66" s="4">
        <v>4400000</v>
      </c>
      <c r="F66" s="4">
        <v>0</v>
      </c>
      <c r="G66" s="4">
        <v>4400000</v>
      </c>
      <c r="H66" s="4">
        <v>110395</v>
      </c>
      <c r="I66" s="4">
        <v>0</v>
      </c>
      <c r="J66" s="4">
        <v>3233317</v>
      </c>
      <c r="K66" s="4">
        <v>3233317</v>
      </c>
      <c r="L66" s="4">
        <v>3343712</v>
      </c>
      <c r="M66" s="4">
        <v>1056288</v>
      </c>
      <c r="N66" s="4"/>
      <c r="O66" s="4">
        <v>0</v>
      </c>
      <c r="P66" s="4">
        <v>1056288</v>
      </c>
      <c r="Q66" s="4"/>
      <c r="R66" s="4"/>
      <c r="S66" s="4">
        <v>0</v>
      </c>
      <c r="T66" s="4">
        <v>0</v>
      </c>
      <c r="U66" s="4">
        <v>0</v>
      </c>
      <c r="V66" s="4">
        <v>0</v>
      </c>
      <c r="W66" s="4"/>
      <c r="X66" s="4"/>
      <c r="Y66" s="4"/>
      <c r="Z66" s="4"/>
      <c r="AA66" s="4"/>
      <c r="AB66" s="3" t="s">
        <v>516</v>
      </c>
      <c r="AC66" s="3">
        <v>810000</v>
      </c>
    </row>
    <row r="67" spans="1:29" ht="40.049999999999997" customHeight="1">
      <c r="A67" s="3">
        <f t="shared" si="0"/>
        <v>63</v>
      </c>
      <c r="B67" s="28">
        <v>2221</v>
      </c>
      <c r="C67" s="3" t="s">
        <v>525</v>
      </c>
      <c r="D67" s="4">
        <v>91304</v>
      </c>
      <c r="E67" s="4">
        <v>91304</v>
      </c>
      <c r="F67" s="4">
        <v>0</v>
      </c>
      <c r="G67" s="4">
        <v>91304</v>
      </c>
      <c r="H67" s="4">
        <v>86522</v>
      </c>
      <c r="I67" s="4">
        <v>0</v>
      </c>
      <c r="J67" s="4">
        <v>4680</v>
      </c>
      <c r="K67" s="4">
        <v>4680</v>
      </c>
      <c r="L67" s="4">
        <v>91202</v>
      </c>
      <c r="M67" s="4">
        <v>102</v>
      </c>
      <c r="N67" s="4"/>
      <c r="O67" s="4">
        <v>0</v>
      </c>
      <c r="P67" s="4">
        <v>102</v>
      </c>
      <c r="Q67" s="4"/>
      <c r="R67" s="4"/>
      <c r="S67" s="4">
        <v>0</v>
      </c>
      <c r="T67" s="4">
        <v>0</v>
      </c>
      <c r="U67" s="4">
        <v>0</v>
      </c>
      <c r="V67" s="4"/>
      <c r="W67" s="154">
        <v>0</v>
      </c>
      <c r="X67" s="4"/>
      <c r="Y67" s="4"/>
      <c r="Z67" s="4"/>
      <c r="AA67" s="4"/>
      <c r="AB67" s="3" t="s">
        <v>526</v>
      </c>
      <c r="AC67" s="3">
        <v>747000</v>
      </c>
    </row>
    <row r="68" spans="1:29" ht="40.049999999999997" customHeight="1">
      <c r="A68" s="3">
        <f t="shared" si="0"/>
        <v>64</v>
      </c>
      <c r="B68" s="28">
        <v>2225</v>
      </c>
      <c r="C68" s="3" t="s">
        <v>511</v>
      </c>
      <c r="D68" s="4">
        <v>150000</v>
      </c>
      <c r="E68" s="4">
        <v>150000</v>
      </c>
      <c r="F68" s="4">
        <v>0</v>
      </c>
      <c r="G68" s="4">
        <v>150000</v>
      </c>
      <c r="H68" s="4">
        <v>68712</v>
      </c>
      <c r="I68" s="4">
        <v>0</v>
      </c>
      <c r="J68" s="4">
        <v>0</v>
      </c>
      <c r="K68" s="4">
        <v>0</v>
      </c>
      <c r="L68" s="4">
        <v>68712</v>
      </c>
      <c r="M68" s="4">
        <v>81288</v>
      </c>
      <c r="N68" s="4"/>
      <c r="O68" s="4">
        <v>0</v>
      </c>
      <c r="P68" s="4">
        <v>81288</v>
      </c>
      <c r="Q68" s="4"/>
      <c r="R68" s="4"/>
      <c r="S68" s="4">
        <v>0</v>
      </c>
      <c r="T68" s="4">
        <v>0</v>
      </c>
      <c r="U68" s="4">
        <v>0</v>
      </c>
      <c r="V68" s="4">
        <v>0</v>
      </c>
      <c r="W68" s="4"/>
      <c r="X68" s="4"/>
      <c r="Y68" s="4"/>
      <c r="Z68" s="4"/>
      <c r="AA68" s="4"/>
      <c r="AB68" s="3" t="s">
        <v>872</v>
      </c>
      <c r="AC68" s="3">
        <v>810000</v>
      </c>
    </row>
    <row r="69" spans="1:29" ht="40.049999999999997" customHeight="1">
      <c r="A69" s="3">
        <f t="shared" si="0"/>
        <v>65</v>
      </c>
      <c r="B69" s="28">
        <v>2226</v>
      </c>
      <c r="C69" s="3" t="s">
        <v>668</v>
      </c>
      <c r="D69" s="4">
        <v>91304</v>
      </c>
      <c r="E69" s="4">
        <v>91304</v>
      </c>
      <c r="F69" s="4">
        <v>0</v>
      </c>
      <c r="G69" s="4">
        <v>91304</v>
      </c>
      <c r="H69" s="4">
        <v>76577</v>
      </c>
      <c r="I69" s="4">
        <v>0</v>
      </c>
      <c r="J69" s="4">
        <v>0</v>
      </c>
      <c r="K69" s="4">
        <v>0</v>
      </c>
      <c r="L69" s="4">
        <v>76577</v>
      </c>
      <c r="M69" s="4">
        <v>14727</v>
      </c>
      <c r="N69" s="4"/>
      <c r="O69" s="4">
        <v>0</v>
      </c>
      <c r="P69" s="4">
        <v>14727</v>
      </c>
      <c r="Q69" s="4"/>
      <c r="R69" s="4"/>
      <c r="S69" s="4">
        <v>0</v>
      </c>
      <c r="T69" s="4">
        <v>0</v>
      </c>
      <c r="U69" s="4">
        <v>0</v>
      </c>
      <c r="V69" s="4"/>
      <c r="W69" s="154">
        <v>0</v>
      </c>
      <c r="X69" s="4"/>
      <c r="Y69" s="4"/>
      <c r="Z69" s="4"/>
      <c r="AA69" s="4"/>
      <c r="AB69" s="3" t="s">
        <v>526</v>
      </c>
      <c r="AC69" s="3">
        <v>747000</v>
      </c>
    </row>
    <row r="70" spans="1:29" ht="40.049999999999997" customHeight="1">
      <c r="A70" s="3">
        <f t="shared" ref="A70:A109" si="1">A69+1</f>
        <v>66</v>
      </c>
      <c r="B70" s="28">
        <v>2234</v>
      </c>
      <c r="C70" s="3" t="s">
        <v>678</v>
      </c>
      <c r="D70" s="4">
        <v>270000</v>
      </c>
      <c r="E70" s="4">
        <v>270000</v>
      </c>
      <c r="F70" s="4">
        <v>0</v>
      </c>
      <c r="G70" s="4">
        <v>270000</v>
      </c>
      <c r="H70" s="4">
        <v>194454</v>
      </c>
      <c r="I70" s="4">
        <v>0</v>
      </c>
      <c r="J70" s="4">
        <v>69781</v>
      </c>
      <c r="K70" s="4">
        <v>69781</v>
      </c>
      <c r="L70" s="4">
        <v>264235</v>
      </c>
      <c r="M70" s="4">
        <v>5765</v>
      </c>
      <c r="N70" s="4"/>
      <c r="O70" s="4">
        <v>0</v>
      </c>
      <c r="P70" s="4">
        <v>5765</v>
      </c>
      <c r="Q70" s="4"/>
      <c r="R70" s="4"/>
      <c r="S70" s="4">
        <v>0</v>
      </c>
      <c r="T70" s="4">
        <v>0</v>
      </c>
      <c r="U70" s="4">
        <v>0</v>
      </c>
      <c r="V70" s="4">
        <v>0</v>
      </c>
      <c r="W70" s="4"/>
      <c r="X70" s="4"/>
      <c r="Y70" s="4"/>
      <c r="Z70" s="4"/>
      <c r="AA70" s="4"/>
      <c r="AB70" s="3" t="s">
        <v>680</v>
      </c>
      <c r="AC70" s="3">
        <v>810000</v>
      </c>
    </row>
    <row r="71" spans="1:29" ht="40.049999999999997" customHeight="1">
      <c r="A71" s="3">
        <f t="shared" si="1"/>
        <v>67</v>
      </c>
      <c r="B71" s="28">
        <v>2235</v>
      </c>
      <c r="C71" s="3" t="s">
        <v>679</v>
      </c>
      <c r="D71" s="4">
        <v>1400000</v>
      </c>
      <c r="E71" s="4">
        <v>1400000</v>
      </c>
      <c r="F71" s="4">
        <v>0</v>
      </c>
      <c r="G71" s="4">
        <v>1400000</v>
      </c>
      <c r="H71" s="4">
        <v>192408</v>
      </c>
      <c r="I71" s="4">
        <v>0</v>
      </c>
      <c r="J71" s="4">
        <v>218850</v>
      </c>
      <c r="K71" s="4">
        <v>218850</v>
      </c>
      <c r="L71" s="4">
        <v>411258</v>
      </c>
      <c r="M71" s="4">
        <v>188742</v>
      </c>
      <c r="N71" s="4">
        <v>800000</v>
      </c>
      <c r="O71" s="4">
        <v>0</v>
      </c>
      <c r="P71" s="4">
        <v>988742</v>
      </c>
      <c r="Q71" s="4"/>
      <c r="R71" s="4"/>
      <c r="S71" s="4">
        <v>0</v>
      </c>
      <c r="T71" s="4">
        <v>800000</v>
      </c>
      <c r="U71" s="4">
        <v>0</v>
      </c>
      <c r="V71" s="4">
        <v>0</v>
      </c>
      <c r="W71" s="4"/>
      <c r="X71" s="4"/>
      <c r="Y71" s="4"/>
      <c r="Z71" s="4"/>
      <c r="AA71" s="4"/>
      <c r="AB71" s="3" t="s">
        <v>681</v>
      </c>
      <c r="AC71" s="3">
        <v>829000</v>
      </c>
    </row>
    <row r="72" spans="1:29" ht="40.049999999999997" customHeight="1">
      <c r="A72" s="3">
        <f t="shared" si="1"/>
        <v>68</v>
      </c>
      <c r="B72" s="28">
        <v>2236</v>
      </c>
      <c r="C72" s="3" t="s">
        <v>678</v>
      </c>
      <c r="D72" s="4">
        <v>180000</v>
      </c>
      <c r="E72" s="4">
        <v>180000</v>
      </c>
      <c r="F72" s="4">
        <v>0</v>
      </c>
      <c r="G72" s="4">
        <v>180000</v>
      </c>
      <c r="H72" s="4">
        <v>116522</v>
      </c>
      <c r="I72" s="4">
        <v>0</v>
      </c>
      <c r="J72" s="4">
        <v>2319</v>
      </c>
      <c r="K72" s="4">
        <v>2319</v>
      </c>
      <c r="L72" s="4">
        <v>118841</v>
      </c>
      <c r="M72" s="4">
        <v>61159</v>
      </c>
      <c r="N72" s="4"/>
      <c r="O72" s="4">
        <v>0</v>
      </c>
      <c r="P72" s="4">
        <v>61159</v>
      </c>
      <c r="Q72" s="4"/>
      <c r="R72" s="4"/>
      <c r="S72" s="4"/>
      <c r="T72" s="4">
        <v>0</v>
      </c>
      <c r="U72" s="4">
        <v>0</v>
      </c>
      <c r="V72" s="4">
        <v>0</v>
      </c>
      <c r="W72" s="4"/>
      <c r="X72" s="4"/>
      <c r="Y72" s="4"/>
      <c r="Z72" s="4"/>
      <c r="AA72" s="4"/>
      <c r="AB72" s="3" t="s">
        <v>1317</v>
      </c>
      <c r="AC72" s="3">
        <v>810000</v>
      </c>
    </row>
    <row r="73" spans="1:29" ht="40.049999999999997" customHeight="1">
      <c r="A73" s="3">
        <f t="shared" si="1"/>
        <v>69</v>
      </c>
      <c r="B73" s="28">
        <v>2237</v>
      </c>
      <c r="C73" s="3" t="s">
        <v>711</v>
      </c>
      <c r="D73" s="4">
        <v>1700000</v>
      </c>
      <c r="E73" s="4">
        <v>1700000</v>
      </c>
      <c r="F73" s="4">
        <v>0</v>
      </c>
      <c r="G73" s="4">
        <v>1700000</v>
      </c>
      <c r="H73" s="4">
        <v>310846</v>
      </c>
      <c r="I73" s="4">
        <v>0</v>
      </c>
      <c r="J73" s="4">
        <v>766703</v>
      </c>
      <c r="K73" s="4">
        <v>766703</v>
      </c>
      <c r="L73" s="4">
        <v>1077549</v>
      </c>
      <c r="M73" s="4">
        <v>222451</v>
      </c>
      <c r="N73" s="4"/>
      <c r="O73" s="4">
        <v>400000</v>
      </c>
      <c r="P73" s="4">
        <v>622451</v>
      </c>
      <c r="Q73" s="4"/>
      <c r="R73" s="4"/>
      <c r="S73" s="4"/>
      <c r="T73" s="4">
        <v>400000</v>
      </c>
      <c r="U73" s="4">
        <v>-400000</v>
      </c>
      <c r="V73" s="4">
        <v>-400000</v>
      </c>
      <c r="W73" s="4"/>
      <c r="X73" s="4"/>
      <c r="Y73" s="4"/>
      <c r="Z73" s="4"/>
      <c r="AA73" s="4"/>
      <c r="AB73" s="3" t="s">
        <v>1318</v>
      </c>
      <c r="AC73" s="3">
        <v>742000</v>
      </c>
    </row>
    <row r="74" spans="1:29" ht="40.049999999999997" customHeight="1">
      <c r="A74" s="3">
        <f t="shared" si="1"/>
        <v>70</v>
      </c>
      <c r="B74" s="28">
        <v>2238</v>
      </c>
      <c r="C74" s="3" t="s">
        <v>712</v>
      </c>
      <c r="D74" s="4">
        <v>5100000</v>
      </c>
      <c r="E74" s="4">
        <v>5100000</v>
      </c>
      <c r="F74" s="4">
        <v>0</v>
      </c>
      <c r="G74" s="4">
        <v>3100000</v>
      </c>
      <c r="H74" s="4">
        <v>1897747</v>
      </c>
      <c r="I74" s="4">
        <v>0</v>
      </c>
      <c r="J74" s="4">
        <v>569570</v>
      </c>
      <c r="K74" s="4">
        <v>569570</v>
      </c>
      <c r="L74" s="4">
        <v>2467317</v>
      </c>
      <c r="M74" s="4">
        <v>632683</v>
      </c>
      <c r="N74" s="4"/>
      <c r="O74" s="4">
        <v>2000000</v>
      </c>
      <c r="P74" s="4">
        <v>632683</v>
      </c>
      <c r="Q74" s="4"/>
      <c r="R74" s="4"/>
      <c r="S74" s="4"/>
      <c r="T74" s="4">
        <v>0</v>
      </c>
      <c r="U74" s="4">
        <v>0</v>
      </c>
      <c r="V74" s="4">
        <v>0</v>
      </c>
      <c r="W74" s="4"/>
      <c r="X74" s="4"/>
      <c r="Y74" s="4"/>
      <c r="Z74" s="4"/>
      <c r="AA74" s="4"/>
      <c r="AB74" s="3" t="s">
        <v>850</v>
      </c>
      <c r="AC74" s="3">
        <v>747000</v>
      </c>
    </row>
    <row r="75" spans="1:29" ht="40.049999999999997" customHeight="1">
      <c r="A75" s="3">
        <f t="shared" si="1"/>
        <v>71</v>
      </c>
      <c r="B75" s="28">
        <v>2239</v>
      </c>
      <c r="C75" s="3" t="s">
        <v>713</v>
      </c>
      <c r="D75" s="4">
        <v>30000000</v>
      </c>
      <c r="E75" s="4">
        <v>30000000</v>
      </c>
      <c r="F75" s="4">
        <v>0</v>
      </c>
      <c r="G75" s="4">
        <v>2750000</v>
      </c>
      <c r="H75" s="4">
        <v>1352378.42</v>
      </c>
      <c r="I75" s="4">
        <v>0</v>
      </c>
      <c r="J75" s="4">
        <v>463709.9</v>
      </c>
      <c r="K75" s="4">
        <v>463709.9</v>
      </c>
      <c r="L75" s="4">
        <v>1816088.3199999998</v>
      </c>
      <c r="M75" s="4">
        <v>933911.68000000017</v>
      </c>
      <c r="N75" s="4">
        <v>1500000</v>
      </c>
      <c r="O75" s="4">
        <v>25750000</v>
      </c>
      <c r="P75" s="4">
        <v>933911.68000000017</v>
      </c>
      <c r="Q75" s="4"/>
      <c r="R75" s="4"/>
      <c r="S75" s="4">
        <v>0</v>
      </c>
      <c r="T75" s="4">
        <v>0</v>
      </c>
      <c r="U75" s="4">
        <v>1500000</v>
      </c>
      <c r="V75" s="4">
        <v>0</v>
      </c>
      <c r="W75" s="4">
        <v>1500000</v>
      </c>
      <c r="X75" s="4"/>
      <c r="Y75" s="4"/>
      <c r="Z75" s="4"/>
      <c r="AA75" s="4"/>
      <c r="AB75" s="3" t="s">
        <v>830</v>
      </c>
      <c r="AC75" s="3">
        <v>742000</v>
      </c>
    </row>
    <row r="76" spans="1:29" ht="40.049999999999997" customHeight="1">
      <c r="A76" s="3">
        <f t="shared" si="1"/>
        <v>72</v>
      </c>
      <c r="B76" s="28">
        <v>2240</v>
      </c>
      <c r="C76" s="3" t="s">
        <v>714</v>
      </c>
      <c r="D76" s="4">
        <v>13200000</v>
      </c>
      <c r="E76" s="4">
        <v>13200000</v>
      </c>
      <c r="F76" s="4">
        <v>0</v>
      </c>
      <c r="G76" s="4">
        <v>2900000</v>
      </c>
      <c r="H76" s="4">
        <v>41510</v>
      </c>
      <c r="I76" s="4">
        <v>0</v>
      </c>
      <c r="J76" s="4">
        <v>1843658</v>
      </c>
      <c r="K76" s="4">
        <v>1843658</v>
      </c>
      <c r="L76" s="4">
        <v>1885168</v>
      </c>
      <c r="M76" s="4">
        <v>1014832</v>
      </c>
      <c r="N76" s="4">
        <v>1340000</v>
      </c>
      <c r="O76" s="4">
        <v>8960000</v>
      </c>
      <c r="P76" s="4">
        <v>1014832</v>
      </c>
      <c r="Q76" s="4">
        <v>0</v>
      </c>
      <c r="R76" s="4"/>
      <c r="S76" s="4">
        <v>0</v>
      </c>
      <c r="T76" s="4">
        <v>0</v>
      </c>
      <c r="U76" s="4">
        <v>1340000</v>
      </c>
      <c r="V76" s="4">
        <v>0</v>
      </c>
      <c r="W76" s="4"/>
      <c r="X76" s="4"/>
      <c r="Y76" s="4"/>
      <c r="Z76" s="4"/>
      <c r="AA76" s="4">
        <v>1340000</v>
      </c>
      <c r="AB76" s="3" t="s">
        <v>866</v>
      </c>
      <c r="AC76" s="3">
        <v>720000</v>
      </c>
    </row>
    <row r="77" spans="1:29" ht="40.049999999999997" customHeight="1">
      <c r="A77" s="3">
        <f t="shared" si="1"/>
        <v>73</v>
      </c>
      <c r="B77" s="28">
        <v>2242</v>
      </c>
      <c r="C77" s="3" t="s">
        <v>886</v>
      </c>
      <c r="D77" s="4">
        <v>120000</v>
      </c>
      <c r="E77" s="4">
        <v>120000</v>
      </c>
      <c r="F77" s="4">
        <v>0</v>
      </c>
      <c r="G77" s="4">
        <v>120000</v>
      </c>
      <c r="H77" s="4">
        <v>6957</v>
      </c>
      <c r="I77" s="4">
        <v>0</v>
      </c>
      <c r="J77" s="4">
        <v>1</v>
      </c>
      <c r="K77" s="4">
        <v>1</v>
      </c>
      <c r="L77" s="4">
        <v>6958</v>
      </c>
      <c r="M77" s="4">
        <v>113042</v>
      </c>
      <c r="N77" s="4"/>
      <c r="O77" s="4">
        <v>0</v>
      </c>
      <c r="P77" s="4">
        <v>113042</v>
      </c>
      <c r="Q77" s="4"/>
      <c r="R77" s="4"/>
      <c r="S77" s="4">
        <v>0</v>
      </c>
      <c r="T77" s="4">
        <v>0</v>
      </c>
      <c r="U77" s="4">
        <v>0</v>
      </c>
      <c r="V77" s="4"/>
      <c r="W77" s="4">
        <v>0</v>
      </c>
      <c r="X77" s="4"/>
      <c r="Y77" s="4"/>
      <c r="Z77" s="4"/>
      <c r="AA77" s="4"/>
      <c r="AB77" s="3" t="s">
        <v>1319</v>
      </c>
      <c r="AC77" s="3">
        <v>810000</v>
      </c>
    </row>
    <row r="78" spans="1:29" ht="40.049999999999997" customHeight="1">
      <c r="A78" s="3">
        <f t="shared" si="1"/>
        <v>74</v>
      </c>
      <c r="B78" s="28">
        <v>20020</v>
      </c>
      <c r="C78" s="3" t="s">
        <v>716</v>
      </c>
      <c r="D78" s="4">
        <v>730000</v>
      </c>
      <c r="E78" s="4">
        <v>730000</v>
      </c>
      <c r="F78" s="4">
        <v>0</v>
      </c>
      <c r="G78" s="4">
        <v>730000</v>
      </c>
      <c r="H78" s="4">
        <v>403681</v>
      </c>
      <c r="I78" s="4">
        <v>0</v>
      </c>
      <c r="J78" s="4">
        <v>6568</v>
      </c>
      <c r="K78" s="4">
        <v>6568</v>
      </c>
      <c r="L78" s="4">
        <v>410249</v>
      </c>
      <c r="M78" s="4">
        <v>319751</v>
      </c>
      <c r="N78" s="4">
        <v>0</v>
      </c>
      <c r="O78" s="4">
        <v>0</v>
      </c>
      <c r="P78" s="4">
        <v>319751</v>
      </c>
      <c r="Q78" s="4"/>
      <c r="R78" s="4"/>
      <c r="S78" s="4">
        <v>0</v>
      </c>
      <c r="T78" s="4">
        <v>0</v>
      </c>
      <c r="U78" s="4">
        <v>0</v>
      </c>
      <c r="V78" s="4"/>
      <c r="W78" s="4">
        <v>0</v>
      </c>
      <c r="X78" s="4"/>
      <c r="Y78" s="4"/>
      <c r="Z78" s="4"/>
      <c r="AA78" s="4"/>
      <c r="AB78" s="381" t="s">
        <v>1320</v>
      </c>
      <c r="AC78" s="3">
        <v>720000</v>
      </c>
    </row>
    <row r="79" spans="1:29" ht="40.049999999999997" customHeight="1">
      <c r="A79" s="3">
        <f t="shared" si="1"/>
        <v>75</v>
      </c>
      <c r="B79" s="28">
        <v>20021</v>
      </c>
      <c r="C79" s="3" t="s">
        <v>718</v>
      </c>
      <c r="D79" s="4">
        <v>8000000</v>
      </c>
      <c r="E79" s="4">
        <v>8000000</v>
      </c>
      <c r="F79" s="4">
        <v>0</v>
      </c>
      <c r="G79" s="4">
        <v>1500000</v>
      </c>
      <c r="H79" s="4">
        <v>0</v>
      </c>
      <c r="I79" s="4">
        <v>0</v>
      </c>
      <c r="J79" s="4">
        <v>548683</v>
      </c>
      <c r="K79" s="4">
        <v>548683</v>
      </c>
      <c r="L79" s="4">
        <v>548683</v>
      </c>
      <c r="M79" s="4">
        <v>2451317</v>
      </c>
      <c r="N79" s="4">
        <v>4000000</v>
      </c>
      <c r="O79" s="4">
        <v>1000000</v>
      </c>
      <c r="P79" s="4">
        <v>951317</v>
      </c>
      <c r="Q79" s="435">
        <v>1500000</v>
      </c>
      <c r="R79" s="4"/>
      <c r="S79" s="4">
        <v>1500000</v>
      </c>
      <c r="T79" s="4">
        <v>0</v>
      </c>
      <c r="U79" s="4">
        <v>4000000</v>
      </c>
      <c r="V79" s="4">
        <v>0</v>
      </c>
      <c r="W79" s="4">
        <v>4000000</v>
      </c>
      <c r="X79" s="4"/>
      <c r="Y79" s="4"/>
      <c r="Z79" s="4"/>
      <c r="AA79" s="4"/>
      <c r="AB79" s="3" t="s">
        <v>719</v>
      </c>
      <c r="AC79" s="3">
        <v>742000</v>
      </c>
    </row>
    <row r="80" spans="1:29" ht="40.049999999999997" customHeight="1">
      <c r="A80" s="3">
        <f t="shared" si="1"/>
        <v>76</v>
      </c>
      <c r="B80" s="28">
        <v>20022</v>
      </c>
      <c r="C80" s="3" t="s">
        <v>720</v>
      </c>
      <c r="D80" s="4">
        <v>180000</v>
      </c>
      <c r="E80" s="4">
        <v>180000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180000</v>
      </c>
      <c r="P80" s="4">
        <v>0</v>
      </c>
      <c r="Q80" s="4"/>
      <c r="R80" s="4"/>
      <c r="S80" s="4">
        <v>0</v>
      </c>
      <c r="T80" s="4">
        <v>0</v>
      </c>
      <c r="U80" s="4">
        <v>0</v>
      </c>
      <c r="V80" s="4"/>
      <c r="W80" s="4">
        <v>0</v>
      </c>
      <c r="X80" s="4"/>
      <c r="Y80" s="4"/>
      <c r="Z80" s="4"/>
      <c r="AA80" s="4"/>
      <c r="AB80" s="3" t="s">
        <v>831</v>
      </c>
      <c r="AC80" s="3">
        <v>747000</v>
      </c>
    </row>
    <row r="81" spans="1:29" ht="40.049999999999997" customHeight="1">
      <c r="A81" s="3">
        <f t="shared" si="1"/>
        <v>77</v>
      </c>
      <c r="B81" s="28">
        <v>20023</v>
      </c>
      <c r="C81" s="3" t="s">
        <v>721</v>
      </c>
      <c r="D81" s="4">
        <v>200000</v>
      </c>
      <c r="E81" s="4">
        <v>200000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200000</v>
      </c>
      <c r="O81" s="4">
        <v>0</v>
      </c>
      <c r="P81" s="4">
        <v>0</v>
      </c>
      <c r="Q81" s="4"/>
      <c r="R81" s="4"/>
      <c r="S81" s="4">
        <v>0</v>
      </c>
      <c r="T81" s="4">
        <v>0</v>
      </c>
      <c r="U81" s="4">
        <v>200000</v>
      </c>
      <c r="V81" s="4"/>
      <c r="W81" s="4">
        <v>0</v>
      </c>
      <c r="X81" s="4"/>
      <c r="Y81" s="4"/>
      <c r="Z81" s="4"/>
      <c r="AA81" s="4">
        <v>200000</v>
      </c>
      <c r="AB81" s="3" t="s">
        <v>832</v>
      </c>
      <c r="AC81" s="3">
        <v>747000</v>
      </c>
    </row>
    <row r="82" spans="1:29" ht="40.049999999999997" customHeight="1">
      <c r="A82" s="3">
        <f t="shared" si="1"/>
        <v>78</v>
      </c>
      <c r="B82" s="28">
        <v>20025</v>
      </c>
      <c r="C82" s="3" t="s">
        <v>722</v>
      </c>
      <c r="D82" s="4">
        <v>50000</v>
      </c>
      <c r="E82" s="4">
        <v>50000</v>
      </c>
      <c r="F82" s="4">
        <v>0</v>
      </c>
      <c r="G82" s="4">
        <v>50000</v>
      </c>
      <c r="H82" s="4">
        <v>0</v>
      </c>
      <c r="I82" s="4">
        <v>0</v>
      </c>
      <c r="J82" s="4">
        <v>50000</v>
      </c>
      <c r="K82" s="4">
        <v>50000</v>
      </c>
      <c r="L82" s="4">
        <v>50000</v>
      </c>
      <c r="M82" s="4">
        <v>0</v>
      </c>
      <c r="N82" s="4"/>
      <c r="O82" s="4">
        <v>0</v>
      </c>
      <c r="P82" s="4">
        <v>0</v>
      </c>
      <c r="Q82" s="4"/>
      <c r="R82" s="4"/>
      <c r="S82" s="4">
        <v>0</v>
      </c>
      <c r="T82" s="4">
        <v>0</v>
      </c>
      <c r="U82" s="4">
        <v>0</v>
      </c>
      <c r="V82" s="4"/>
      <c r="W82" s="4">
        <v>0</v>
      </c>
      <c r="X82" s="4"/>
      <c r="Y82" s="4"/>
      <c r="Z82" s="4"/>
      <c r="AA82" s="4"/>
      <c r="AB82" s="3" t="s">
        <v>526</v>
      </c>
      <c r="AC82" s="3">
        <v>747000</v>
      </c>
    </row>
    <row r="83" spans="1:29" ht="40.049999999999997" customHeight="1">
      <c r="A83" s="3">
        <f t="shared" si="1"/>
        <v>79</v>
      </c>
      <c r="B83" s="28">
        <v>20026</v>
      </c>
      <c r="C83" s="3" t="s">
        <v>723</v>
      </c>
      <c r="D83" s="4">
        <v>50000</v>
      </c>
      <c r="E83" s="4">
        <v>50000</v>
      </c>
      <c r="F83" s="4">
        <v>0</v>
      </c>
      <c r="G83" s="4">
        <v>50000</v>
      </c>
      <c r="H83" s="4">
        <v>49953</v>
      </c>
      <c r="I83" s="4">
        <v>0</v>
      </c>
      <c r="J83" s="4">
        <v>0</v>
      </c>
      <c r="K83" s="4">
        <v>0</v>
      </c>
      <c r="L83" s="4">
        <v>49953</v>
      </c>
      <c r="M83" s="4">
        <v>47</v>
      </c>
      <c r="N83" s="4"/>
      <c r="O83" s="4">
        <v>0</v>
      </c>
      <c r="P83" s="4">
        <v>47</v>
      </c>
      <c r="Q83" s="4"/>
      <c r="R83" s="4"/>
      <c r="S83" s="4">
        <v>0</v>
      </c>
      <c r="T83" s="4">
        <v>0</v>
      </c>
      <c r="U83" s="4">
        <v>0</v>
      </c>
      <c r="V83" s="4"/>
      <c r="W83" s="4">
        <v>0</v>
      </c>
      <c r="X83" s="4"/>
      <c r="Y83" s="4"/>
      <c r="Z83" s="4"/>
      <c r="AA83" s="4"/>
      <c r="AB83" s="3" t="s">
        <v>526</v>
      </c>
      <c r="AC83" s="3">
        <v>747000</v>
      </c>
    </row>
    <row r="84" spans="1:29" ht="40.049999999999997" customHeight="1">
      <c r="A84" s="3">
        <f t="shared" si="1"/>
        <v>80</v>
      </c>
      <c r="B84" s="28">
        <v>20027</v>
      </c>
      <c r="C84" s="3" t="s">
        <v>724</v>
      </c>
      <c r="D84" s="4">
        <v>82800</v>
      </c>
      <c r="E84" s="4">
        <v>82800</v>
      </c>
      <c r="F84" s="4">
        <v>0</v>
      </c>
      <c r="G84" s="4">
        <v>82800</v>
      </c>
      <c r="H84" s="4">
        <v>0</v>
      </c>
      <c r="I84" s="4">
        <v>0</v>
      </c>
      <c r="J84" s="4">
        <v>62950</v>
      </c>
      <c r="K84" s="4">
        <v>62950</v>
      </c>
      <c r="L84" s="4">
        <v>62950</v>
      </c>
      <c r="M84" s="4">
        <v>19850</v>
      </c>
      <c r="N84" s="4"/>
      <c r="O84" s="4">
        <v>0</v>
      </c>
      <c r="P84" s="4">
        <v>19850</v>
      </c>
      <c r="Q84" s="4"/>
      <c r="R84" s="4"/>
      <c r="S84" s="4">
        <v>0</v>
      </c>
      <c r="T84" s="4">
        <v>0</v>
      </c>
      <c r="U84" s="4">
        <v>0</v>
      </c>
      <c r="V84" s="4"/>
      <c r="W84" s="4">
        <v>0</v>
      </c>
      <c r="X84" s="4"/>
      <c r="Y84" s="4"/>
      <c r="Z84" s="4"/>
      <c r="AA84" s="4"/>
      <c r="AB84" s="3" t="s">
        <v>526</v>
      </c>
      <c r="AC84" s="3">
        <v>747000</v>
      </c>
    </row>
    <row r="85" spans="1:29" ht="40.049999999999997" customHeight="1">
      <c r="A85" s="3">
        <f t="shared" si="1"/>
        <v>81</v>
      </c>
      <c r="B85" s="28">
        <v>20029</v>
      </c>
      <c r="C85" s="3" t="s">
        <v>725</v>
      </c>
      <c r="D85" s="4">
        <v>2000000</v>
      </c>
      <c r="E85" s="4">
        <v>2000000</v>
      </c>
      <c r="F85" s="4">
        <v>0</v>
      </c>
      <c r="G85" s="4">
        <v>1000000</v>
      </c>
      <c r="H85" s="4">
        <v>3634</v>
      </c>
      <c r="I85" s="4">
        <v>0</v>
      </c>
      <c r="J85" s="4">
        <v>622364</v>
      </c>
      <c r="K85" s="4">
        <v>622364</v>
      </c>
      <c r="L85" s="4">
        <v>625998</v>
      </c>
      <c r="M85" s="4">
        <v>374002</v>
      </c>
      <c r="N85" s="4">
        <v>500000</v>
      </c>
      <c r="O85" s="4">
        <v>500000</v>
      </c>
      <c r="P85" s="4">
        <v>374002</v>
      </c>
      <c r="Q85" s="4"/>
      <c r="R85" s="4"/>
      <c r="S85" s="4">
        <v>0</v>
      </c>
      <c r="T85" s="4">
        <v>0</v>
      </c>
      <c r="U85" s="4">
        <v>500000</v>
      </c>
      <c r="V85" s="4"/>
      <c r="W85" s="4">
        <v>500000</v>
      </c>
      <c r="X85" s="4"/>
      <c r="Y85" s="4"/>
      <c r="Z85" s="4"/>
      <c r="AA85" s="4"/>
      <c r="AB85" s="28" t="s">
        <v>1410</v>
      </c>
      <c r="AC85" s="3">
        <v>848000</v>
      </c>
    </row>
    <row r="86" spans="1:29" ht="40.049999999999997" customHeight="1">
      <c r="A86" s="3">
        <f t="shared" si="1"/>
        <v>82</v>
      </c>
      <c r="B86" s="28">
        <v>20030</v>
      </c>
      <c r="C86" s="3" t="s">
        <v>726</v>
      </c>
      <c r="D86" s="4">
        <v>24650000</v>
      </c>
      <c r="E86" s="4">
        <v>18150000</v>
      </c>
      <c r="F86" s="4">
        <v>6500000</v>
      </c>
      <c r="G86" s="4">
        <v>15200000</v>
      </c>
      <c r="H86" s="4">
        <v>4582658</v>
      </c>
      <c r="I86" s="4">
        <v>0</v>
      </c>
      <c r="J86" s="4">
        <v>10506476</v>
      </c>
      <c r="K86" s="4">
        <v>10506476</v>
      </c>
      <c r="L86" s="4">
        <v>15089134</v>
      </c>
      <c r="M86" s="4">
        <v>3060866</v>
      </c>
      <c r="N86" s="4">
        <v>6500000</v>
      </c>
      <c r="O86" s="4">
        <v>0</v>
      </c>
      <c r="P86" s="4">
        <v>110866</v>
      </c>
      <c r="Q86" s="4"/>
      <c r="R86" s="435">
        <v>2950000</v>
      </c>
      <c r="S86" s="4">
        <v>2950000</v>
      </c>
      <c r="T86" s="4">
        <v>0</v>
      </c>
      <c r="U86" s="4">
        <v>6500000</v>
      </c>
      <c r="V86" s="4">
        <v>0</v>
      </c>
      <c r="W86" s="4">
        <v>6500000</v>
      </c>
      <c r="X86" s="4"/>
      <c r="Y86" s="4"/>
      <c r="Z86" s="4"/>
      <c r="AA86" s="4"/>
      <c r="AB86" s="3" t="s">
        <v>1321</v>
      </c>
      <c r="AC86" s="3">
        <v>810000</v>
      </c>
    </row>
    <row r="87" spans="1:29" ht="40.049999999999997" customHeight="1">
      <c r="A87" s="3">
        <f t="shared" si="1"/>
        <v>83</v>
      </c>
      <c r="B87" s="28">
        <v>20032</v>
      </c>
      <c r="C87" s="3" t="s">
        <v>730</v>
      </c>
      <c r="D87" s="4">
        <v>4850000</v>
      </c>
      <c r="E87" s="4">
        <v>4850000</v>
      </c>
      <c r="F87" s="4">
        <v>0</v>
      </c>
      <c r="G87" s="4">
        <v>60000</v>
      </c>
      <c r="H87" s="4">
        <v>0</v>
      </c>
      <c r="I87" s="4">
        <v>0</v>
      </c>
      <c r="J87" s="4">
        <v>50415</v>
      </c>
      <c r="K87" s="4">
        <v>50415</v>
      </c>
      <c r="L87" s="4">
        <v>50415</v>
      </c>
      <c r="M87" s="4">
        <v>9585</v>
      </c>
      <c r="N87" s="4">
        <v>3500000</v>
      </c>
      <c r="O87" s="4">
        <v>1290000</v>
      </c>
      <c r="P87" s="4">
        <v>9585</v>
      </c>
      <c r="Q87" s="4"/>
      <c r="R87" s="4"/>
      <c r="S87" s="4">
        <v>0</v>
      </c>
      <c r="T87" s="4">
        <v>0</v>
      </c>
      <c r="U87" s="4">
        <v>3500000</v>
      </c>
      <c r="V87" s="4">
        <v>0</v>
      </c>
      <c r="W87" s="4">
        <v>1700000</v>
      </c>
      <c r="X87" s="4"/>
      <c r="Y87" s="4"/>
      <c r="Z87" s="4"/>
      <c r="AA87" s="4">
        <v>1800000</v>
      </c>
      <c r="AB87" s="3" t="s">
        <v>941</v>
      </c>
      <c r="AC87" s="3">
        <v>829000</v>
      </c>
    </row>
    <row r="88" spans="1:29" ht="40.049999999999997" customHeight="1">
      <c r="A88" s="3">
        <f t="shared" si="1"/>
        <v>84</v>
      </c>
      <c r="B88" s="28">
        <v>20034</v>
      </c>
      <c r="C88" s="3" t="s">
        <v>731</v>
      </c>
      <c r="D88" s="4">
        <v>4000000</v>
      </c>
      <c r="E88" s="4">
        <v>2000000</v>
      </c>
      <c r="F88" s="4">
        <v>2000000</v>
      </c>
      <c r="G88" s="4">
        <v>900000</v>
      </c>
      <c r="H88" s="4">
        <v>0</v>
      </c>
      <c r="I88" s="4">
        <v>0</v>
      </c>
      <c r="J88" s="4">
        <v>500047</v>
      </c>
      <c r="K88" s="4">
        <v>500047</v>
      </c>
      <c r="L88" s="4">
        <v>500047</v>
      </c>
      <c r="M88" s="4">
        <v>499953</v>
      </c>
      <c r="N88" s="4">
        <v>2000000</v>
      </c>
      <c r="O88" s="4">
        <v>1000000</v>
      </c>
      <c r="P88" s="4">
        <v>399953</v>
      </c>
      <c r="Q88" s="435">
        <v>100000</v>
      </c>
      <c r="R88" s="4"/>
      <c r="S88" s="4">
        <v>100000</v>
      </c>
      <c r="T88" s="4"/>
      <c r="U88" s="4">
        <v>2000000</v>
      </c>
      <c r="V88" s="4"/>
      <c r="W88" s="4">
        <v>1000000</v>
      </c>
      <c r="X88" s="4"/>
      <c r="Y88" s="4"/>
      <c r="Z88" s="4"/>
      <c r="AA88" s="4">
        <v>1000000</v>
      </c>
      <c r="AB88" s="3" t="s">
        <v>943</v>
      </c>
      <c r="AC88" s="3">
        <v>828000</v>
      </c>
    </row>
    <row r="89" spans="1:29" ht="40.049999999999997" customHeight="1">
      <c r="A89" s="3">
        <f t="shared" si="1"/>
        <v>85</v>
      </c>
      <c r="B89" s="28">
        <v>20036</v>
      </c>
      <c r="C89" s="3" t="s">
        <v>732</v>
      </c>
      <c r="D89" s="4">
        <v>5200000</v>
      </c>
      <c r="E89" s="4">
        <v>7800000</v>
      </c>
      <c r="F89" s="4">
        <v>-2600000</v>
      </c>
      <c r="G89" s="4">
        <v>200000</v>
      </c>
      <c r="H89" s="4">
        <v>0</v>
      </c>
      <c r="I89" s="4">
        <v>0</v>
      </c>
      <c r="J89" s="4">
        <v>132595</v>
      </c>
      <c r="K89" s="4">
        <v>132595</v>
      </c>
      <c r="L89" s="4">
        <v>132595</v>
      </c>
      <c r="M89" s="4">
        <v>67405</v>
      </c>
      <c r="N89" s="4">
        <v>5000000</v>
      </c>
      <c r="O89" s="4">
        <v>0</v>
      </c>
      <c r="P89" s="4">
        <v>67405</v>
      </c>
      <c r="Q89" s="4"/>
      <c r="R89" s="4"/>
      <c r="S89" s="4">
        <v>0</v>
      </c>
      <c r="T89" s="4"/>
      <c r="U89" s="4">
        <v>5000000</v>
      </c>
      <c r="V89" s="4">
        <v>0</v>
      </c>
      <c r="W89" s="4">
        <v>5000000</v>
      </c>
      <c r="X89" s="4"/>
      <c r="Y89" s="4"/>
      <c r="Z89" s="4"/>
      <c r="AA89" s="4"/>
      <c r="AB89" s="3" t="s">
        <v>1322</v>
      </c>
      <c r="AC89" s="3">
        <v>810000</v>
      </c>
    </row>
    <row r="90" spans="1:29" ht="40.049999999999997" customHeight="1">
      <c r="A90" s="3">
        <f t="shared" si="1"/>
        <v>86</v>
      </c>
      <c r="B90" s="28">
        <v>20037</v>
      </c>
      <c r="C90" s="3" t="s">
        <v>733</v>
      </c>
      <c r="D90" s="442">
        <v>2200000</v>
      </c>
      <c r="E90" s="4">
        <v>2200000</v>
      </c>
      <c r="F90" s="4">
        <v>0</v>
      </c>
      <c r="G90" s="4">
        <v>1500000</v>
      </c>
      <c r="H90" s="4">
        <v>55780</v>
      </c>
      <c r="I90" s="4">
        <v>0</v>
      </c>
      <c r="J90" s="4">
        <v>443580</v>
      </c>
      <c r="K90" s="4">
        <v>443580</v>
      </c>
      <c r="L90" s="4">
        <v>499360</v>
      </c>
      <c r="M90" s="4">
        <v>1700640</v>
      </c>
      <c r="N90" s="4"/>
      <c r="O90" s="4">
        <v>0</v>
      </c>
      <c r="P90" s="4">
        <v>1000640</v>
      </c>
      <c r="Q90" s="4"/>
      <c r="R90" s="435">
        <v>700000</v>
      </c>
      <c r="S90" s="4">
        <v>700000</v>
      </c>
      <c r="T90" s="4"/>
      <c r="U90" s="4">
        <v>0</v>
      </c>
      <c r="V90" s="4">
        <v>0</v>
      </c>
      <c r="W90" s="4"/>
      <c r="X90" s="4"/>
      <c r="Y90" s="4"/>
      <c r="Z90" s="4"/>
      <c r="AA90" s="4"/>
      <c r="AB90" s="3" t="s">
        <v>1323</v>
      </c>
      <c r="AC90" s="3">
        <v>826000</v>
      </c>
    </row>
    <row r="91" spans="1:29" ht="40.049999999999997" customHeight="1">
      <c r="A91" s="3">
        <f t="shared" si="1"/>
        <v>87</v>
      </c>
      <c r="B91" s="28">
        <v>20038</v>
      </c>
      <c r="C91" s="3" t="s">
        <v>734</v>
      </c>
      <c r="D91" s="4">
        <v>550000</v>
      </c>
      <c r="E91" s="4">
        <v>550000</v>
      </c>
      <c r="F91" s="4">
        <v>0</v>
      </c>
      <c r="G91" s="4">
        <v>550000</v>
      </c>
      <c r="H91" s="4">
        <v>0</v>
      </c>
      <c r="I91" s="4">
        <v>0</v>
      </c>
      <c r="J91" s="4">
        <v>525587</v>
      </c>
      <c r="K91" s="4">
        <v>525587</v>
      </c>
      <c r="L91" s="4">
        <v>525587</v>
      </c>
      <c r="M91" s="4">
        <v>24413</v>
      </c>
      <c r="N91" s="4"/>
      <c r="O91" s="4">
        <v>0</v>
      </c>
      <c r="P91" s="4">
        <v>24413</v>
      </c>
      <c r="Q91" s="4"/>
      <c r="R91" s="4"/>
      <c r="S91" s="4">
        <v>0</v>
      </c>
      <c r="T91" s="4"/>
      <c r="U91" s="4">
        <v>0</v>
      </c>
      <c r="V91" s="4">
        <v>0</v>
      </c>
      <c r="W91" s="4"/>
      <c r="X91" s="4"/>
      <c r="Y91" s="4"/>
      <c r="Z91" s="4"/>
      <c r="AA91" s="4"/>
      <c r="AB91" s="3" t="s">
        <v>735</v>
      </c>
      <c r="AC91" s="3">
        <v>829000</v>
      </c>
    </row>
    <row r="92" spans="1:29" ht="40.049999999999997" customHeight="1">
      <c r="A92" s="3">
        <f t="shared" si="1"/>
        <v>88</v>
      </c>
      <c r="B92" s="28">
        <v>20039</v>
      </c>
      <c r="C92" s="3" t="s">
        <v>810</v>
      </c>
      <c r="D92" s="4">
        <v>3200000</v>
      </c>
      <c r="E92" s="4">
        <v>3200000</v>
      </c>
      <c r="F92" s="4">
        <v>0</v>
      </c>
      <c r="G92" s="4">
        <v>3200000</v>
      </c>
      <c r="H92" s="4">
        <v>3179346</v>
      </c>
      <c r="I92" s="4">
        <v>0</v>
      </c>
      <c r="J92" s="4">
        <v>15890</v>
      </c>
      <c r="K92" s="4">
        <v>15890</v>
      </c>
      <c r="L92" s="4">
        <v>3195236</v>
      </c>
      <c r="M92" s="4">
        <v>4764</v>
      </c>
      <c r="N92" s="4"/>
      <c r="O92" s="4">
        <v>0</v>
      </c>
      <c r="P92" s="4">
        <v>4764</v>
      </c>
      <c r="Q92" s="4"/>
      <c r="R92" s="4"/>
      <c r="S92" s="4">
        <v>0</v>
      </c>
      <c r="T92" s="4"/>
      <c r="U92" s="4">
        <v>0</v>
      </c>
      <c r="V92" s="4">
        <v>0</v>
      </c>
      <c r="W92" s="4"/>
      <c r="X92" s="4"/>
      <c r="Y92" s="4"/>
      <c r="Z92" s="4"/>
      <c r="AA92" s="4"/>
      <c r="AB92" s="3" t="s">
        <v>868</v>
      </c>
      <c r="AC92" s="3">
        <v>720000</v>
      </c>
    </row>
    <row r="93" spans="1:29" ht="40.049999999999997" customHeight="1">
      <c r="A93" s="3">
        <f t="shared" si="1"/>
        <v>89</v>
      </c>
      <c r="B93" s="28">
        <v>20048</v>
      </c>
      <c r="C93" s="3" t="s">
        <v>883</v>
      </c>
      <c r="D93" s="4">
        <v>3730000</v>
      </c>
      <c r="E93" s="4">
        <v>3730000</v>
      </c>
      <c r="F93" s="4">
        <v>0</v>
      </c>
      <c r="G93" s="4">
        <v>3730000</v>
      </c>
      <c r="H93" s="4">
        <v>3378183</v>
      </c>
      <c r="I93" s="4">
        <v>0</v>
      </c>
      <c r="J93" s="4">
        <v>155540</v>
      </c>
      <c r="K93" s="4">
        <v>155540</v>
      </c>
      <c r="L93" s="4">
        <v>3533723</v>
      </c>
      <c r="M93" s="4">
        <v>196277</v>
      </c>
      <c r="N93" s="4"/>
      <c r="O93" s="4">
        <v>0</v>
      </c>
      <c r="P93" s="4">
        <v>196277</v>
      </c>
      <c r="Q93" s="4"/>
      <c r="R93" s="4"/>
      <c r="S93" s="4">
        <v>0</v>
      </c>
      <c r="T93" s="4"/>
      <c r="U93" s="4">
        <v>0</v>
      </c>
      <c r="V93" s="4">
        <v>0</v>
      </c>
      <c r="W93" s="4"/>
      <c r="X93" s="4"/>
      <c r="Y93" s="4"/>
      <c r="Z93" s="4"/>
      <c r="AA93" s="4"/>
      <c r="AB93" s="3" t="s">
        <v>1324</v>
      </c>
      <c r="AC93" s="3">
        <v>826000</v>
      </c>
    </row>
    <row r="94" spans="1:29" ht="40.049999999999997" customHeight="1">
      <c r="A94" s="3">
        <f t="shared" si="1"/>
        <v>90</v>
      </c>
      <c r="B94" s="28">
        <v>20050</v>
      </c>
      <c r="C94" s="3" t="s">
        <v>884</v>
      </c>
      <c r="D94" s="4">
        <v>2200000</v>
      </c>
      <c r="E94" s="4">
        <v>2200000</v>
      </c>
      <c r="F94" s="4">
        <v>0</v>
      </c>
      <c r="G94" s="4">
        <v>2200000</v>
      </c>
      <c r="H94" s="4">
        <v>0</v>
      </c>
      <c r="I94" s="4">
        <v>0</v>
      </c>
      <c r="J94" s="4">
        <v>2196578</v>
      </c>
      <c r="K94" s="4">
        <v>2196578</v>
      </c>
      <c r="L94" s="4">
        <v>2196578</v>
      </c>
      <c r="M94" s="4">
        <v>3422</v>
      </c>
      <c r="N94" s="4">
        <v>0</v>
      </c>
      <c r="O94" s="4">
        <v>0</v>
      </c>
      <c r="P94" s="4">
        <v>3422</v>
      </c>
      <c r="Q94" s="4"/>
      <c r="R94" s="4"/>
      <c r="S94" s="4">
        <v>0</v>
      </c>
      <c r="T94" s="4"/>
      <c r="U94" s="4">
        <v>0</v>
      </c>
      <c r="V94" s="4">
        <v>0</v>
      </c>
      <c r="W94" s="4"/>
      <c r="X94" s="4"/>
      <c r="Y94" s="4"/>
      <c r="Z94" s="4"/>
      <c r="AA94" s="4"/>
      <c r="AB94" s="3" t="s">
        <v>1325</v>
      </c>
      <c r="AC94" s="3">
        <v>742000</v>
      </c>
    </row>
    <row r="95" spans="1:29" ht="40.049999999999997" customHeight="1">
      <c r="A95" s="3">
        <f t="shared" si="1"/>
        <v>91</v>
      </c>
      <c r="B95" s="28">
        <v>20051</v>
      </c>
      <c r="C95" s="3" t="s">
        <v>887</v>
      </c>
      <c r="D95" s="4">
        <v>1500000</v>
      </c>
      <c r="E95" s="4">
        <v>2300000</v>
      </c>
      <c r="F95" s="4">
        <v>-800000</v>
      </c>
      <c r="G95" s="4">
        <v>1500000</v>
      </c>
      <c r="H95" s="4">
        <v>0</v>
      </c>
      <c r="I95" s="4"/>
      <c r="J95" s="4">
        <v>1499129.51</v>
      </c>
      <c r="K95" s="4">
        <v>1499129.51</v>
      </c>
      <c r="L95" s="4">
        <v>1499129.51</v>
      </c>
      <c r="M95" s="4">
        <v>870.48999999999069</v>
      </c>
      <c r="N95" s="4">
        <v>0</v>
      </c>
      <c r="O95" s="4">
        <v>0</v>
      </c>
      <c r="P95" s="4">
        <v>870.48999999999069</v>
      </c>
      <c r="Q95" s="4"/>
      <c r="R95" s="4"/>
      <c r="S95" s="4">
        <v>0</v>
      </c>
      <c r="T95" s="4"/>
      <c r="U95" s="4">
        <v>0</v>
      </c>
      <c r="V95" s="4">
        <v>0</v>
      </c>
      <c r="W95" s="4"/>
      <c r="X95" s="4"/>
      <c r="Y95" s="4"/>
      <c r="Z95" s="4"/>
      <c r="AA95" s="4"/>
      <c r="AB95" s="3" t="s">
        <v>1326</v>
      </c>
      <c r="AC95" s="3">
        <v>742000</v>
      </c>
    </row>
    <row r="96" spans="1:29" ht="40.049999999999997" customHeight="1">
      <c r="A96" s="3">
        <f t="shared" si="1"/>
        <v>92</v>
      </c>
      <c r="B96" s="28">
        <v>20052</v>
      </c>
      <c r="C96" s="3" t="s">
        <v>913</v>
      </c>
      <c r="D96" s="4">
        <v>2820553</v>
      </c>
      <c r="E96" s="4">
        <v>2820553</v>
      </c>
      <c r="F96" s="4">
        <v>0</v>
      </c>
      <c r="G96" s="4">
        <v>2270000</v>
      </c>
      <c r="H96" s="4">
        <v>117075</v>
      </c>
      <c r="I96" s="4">
        <v>0</v>
      </c>
      <c r="J96" s="4">
        <v>2152343</v>
      </c>
      <c r="K96" s="4">
        <v>2152343</v>
      </c>
      <c r="L96" s="4">
        <v>2269418</v>
      </c>
      <c r="M96" s="4">
        <v>551135</v>
      </c>
      <c r="N96" s="4"/>
      <c r="O96" s="4">
        <v>0</v>
      </c>
      <c r="P96" s="4">
        <v>582</v>
      </c>
      <c r="Q96" s="4"/>
      <c r="R96" s="435">
        <v>550553</v>
      </c>
      <c r="S96" s="4">
        <v>550553</v>
      </c>
      <c r="T96" s="4"/>
      <c r="U96" s="4">
        <v>0</v>
      </c>
      <c r="V96" s="4">
        <v>0</v>
      </c>
      <c r="W96" s="4"/>
      <c r="X96" s="4"/>
      <c r="Y96" s="4"/>
      <c r="Z96" s="4"/>
      <c r="AA96" s="4"/>
      <c r="AB96" s="3" t="s">
        <v>1327</v>
      </c>
      <c r="AC96" s="3">
        <v>930000</v>
      </c>
    </row>
    <row r="97" spans="1:29" ht="40.049999999999997" customHeight="1">
      <c r="A97" s="3">
        <f t="shared" si="1"/>
        <v>93</v>
      </c>
      <c r="B97" s="28">
        <v>20053</v>
      </c>
      <c r="C97" s="3" t="s">
        <v>885</v>
      </c>
      <c r="D97" s="4">
        <v>600000</v>
      </c>
      <c r="E97" s="4">
        <v>600000</v>
      </c>
      <c r="F97" s="4">
        <v>0</v>
      </c>
      <c r="G97" s="4">
        <v>600000</v>
      </c>
      <c r="H97" s="4">
        <v>0</v>
      </c>
      <c r="I97" s="4">
        <v>0</v>
      </c>
      <c r="J97" s="4">
        <v>145547</v>
      </c>
      <c r="K97" s="4">
        <v>145547</v>
      </c>
      <c r="L97" s="4">
        <v>145547</v>
      </c>
      <c r="M97" s="4">
        <v>454453</v>
      </c>
      <c r="N97" s="4"/>
      <c r="O97" s="4">
        <v>0</v>
      </c>
      <c r="P97" s="4">
        <v>454453</v>
      </c>
      <c r="Q97" s="4"/>
      <c r="R97" s="4"/>
      <c r="S97" s="4">
        <v>0</v>
      </c>
      <c r="T97" s="4"/>
      <c r="U97" s="4">
        <v>0</v>
      </c>
      <c r="V97" s="4">
        <v>0</v>
      </c>
      <c r="W97" s="4"/>
      <c r="X97" s="4"/>
      <c r="Y97" s="4"/>
      <c r="Z97" s="4"/>
      <c r="AA97" s="4"/>
      <c r="AB97" s="3" t="s">
        <v>1328</v>
      </c>
      <c r="AC97" s="3">
        <v>930000</v>
      </c>
    </row>
    <row r="98" spans="1:29" ht="40.049999999999997" customHeight="1">
      <c r="A98" s="3">
        <f t="shared" si="1"/>
        <v>94</v>
      </c>
      <c r="B98" s="28">
        <v>20054</v>
      </c>
      <c r="C98" s="3" t="s">
        <v>888</v>
      </c>
      <c r="D98" s="4">
        <v>1400000</v>
      </c>
      <c r="E98" s="4">
        <v>1400000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1400000</v>
      </c>
      <c r="N98" s="4"/>
      <c r="O98" s="4">
        <v>0</v>
      </c>
      <c r="P98" s="4">
        <v>0</v>
      </c>
      <c r="Q98" s="4"/>
      <c r="R98" s="435">
        <v>1400000</v>
      </c>
      <c r="S98" s="4">
        <v>1400000</v>
      </c>
      <c r="T98" s="4"/>
      <c r="U98" s="4">
        <v>0</v>
      </c>
      <c r="V98" s="4">
        <v>0</v>
      </c>
      <c r="W98" s="4"/>
      <c r="X98" s="4"/>
      <c r="Y98" s="4"/>
      <c r="Z98" s="4"/>
      <c r="AA98" s="4"/>
      <c r="AB98" s="3" t="s">
        <v>1329</v>
      </c>
      <c r="AC98" s="3">
        <v>810000</v>
      </c>
    </row>
    <row r="99" spans="1:29" ht="40.049999999999997" customHeight="1">
      <c r="A99" s="3">
        <f t="shared" si="1"/>
        <v>95</v>
      </c>
      <c r="B99" s="28">
        <v>20055</v>
      </c>
      <c r="C99" s="3" t="s">
        <v>914</v>
      </c>
      <c r="D99" s="4">
        <v>2000000</v>
      </c>
      <c r="E99" s="4">
        <v>2000000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2000000</v>
      </c>
      <c r="N99" s="4"/>
      <c r="O99" s="4">
        <v>0</v>
      </c>
      <c r="P99" s="4">
        <v>0</v>
      </c>
      <c r="Q99" s="4"/>
      <c r="R99" s="435">
        <v>2000000</v>
      </c>
      <c r="S99" s="4">
        <v>2000000</v>
      </c>
      <c r="T99" s="4"/>
      <c r="U99" s="4">
        <v>0</v>
      </c>
      <c r="V99" s="4">
        <v>0</v>
      </c>
      <c r="W99" s="4"/>
      <c r="X99" s="4"/>
      <c r="Y99" s="4"/>
      <c r="Z99" s="4"/>
      <c r="AA99" s="4"/>
      <c r="AB99" s="3" t="s">
        <v>1330</v>
      </c>
      <c r="AC99" s="3">
        <v>810000</v>
      </c>
    </row>
    <row r="100" spans="1:29" ht="40.049999999999997" customHeight="1">
      <c r="A100" s="3">
        <f t="shared" si="1"/>
        <v>96</v>
      </c>
      <c r="B100" s="28">
        <v>20065</v>
      </c>
      <c r="C100" s="3" t="s">
        <v>915</v>
      </c>
      <c r="D100" s="4">
        <v>3200000</v>
      </c>
      <c r="E100" s="4"/>
      <c r="F100" s="4">
        <v>3200000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2000000</v>
      </c>
      <c r="O100" s="4">
        <v>1200000</v>
      </c>
      <c r="P100" s="4">
        <v>0</v>
      </c>
      <c r="Q100" s="4"/>
      <c r="R100" s="4"/>
      <c r="S100" s="4">
        <v>0</v>
      </c>
      <c r="T100" s="4">
        <v>0</v>
      </c>
      <c r="U100" s="4">
        <v>2000000</v>
      </c>
      <c r="V100" s="4"/>
      <c r="W100" s="4">
        <v>2000000</v>
      </c>
      <c r="X100" s="4"/>
      <c r="Y100" s="4"/>
      <c r="Z100" s="4"/>
      <c r="AA100" s="4"/>
      <c r="AB100" s="3" t="s">
        <v>1331</v>
      </c>
      <c r="AC100" s="3">
        <v>824000</v>
      </c>
    </row>
    <row r="101" spans="1:29" ht="40.049999999999997" customHeight="1">
      <c r="A101" s="3">
        <f t="shared" si="1"/>
        <v>97</v>
      </c>
      <c r="B101" s="28">
        <v>20066</v>
      </c>
      <c r="C101" s="3" t="s">
        <v>916</v>
      </c>
      <c r="D101" s="4">
        <v>3540000</v>
      </c>
      <c r="E101" s="4"/>
      <c r="F101" s="4">
        <v>3540000</v>
      </c>
      <c r="G101" s="4">
        <v>0</v>
      </c>
      <c r="H101" s="4">
        <v>0</v>
      </c>
      <c r="I101" s="4">
        <v>0</v>
      </c>
      <c r="J101" s="4">
        <v>0</v>
      </c>
      <c r="K101" s="4"/>
      <c r="L101" s="4"/>
      <c r="M101" s="4">
        <v>0</v>
      </c>
      <c r="N101" s="4">
        <v>450000</v>
      </c>
      <c r="O101" s="4">
        <v>3090000</v>
      </c>
      <c r="P101" s="4"/>
      <c r="Q101" s="4"/>
      <c r="R101" s="4"/>
      <c r="S101" s="4"/>
      <c r="T101" s="4"/>
      <c r="U101" s="4">
        <v>450000</v>
      </c>
      <c r="V101" s="4"/>
      <c r="W101" s="4">
        <v>450000</v>
      </c>
      <c r="X101" s="4"/>
      <c r="Y101" s="4"/>
      <c r="Z101" s="4"/>
      <c r="AA101" s="4"/>
      <c r="AB101" s="3" t="s">
        <v>1332</v>
      </c>
      <c r="AC101" s="3">
        <v>723000</v>
      </c>
    </row>
    <row r="102" spans="1:29" ht="40.049999999999997" customHeight="1">
      <c r="A102" s="3">
        <f t="shared" si="1"/>
        <v>98</v>
      </c>
      <c r="B102" s="28">
        <v>20067</v>
      </c>
      <c r="C102" s="3" t="s">
        <v>917</v>
      </c>
      <c r="D102" s="442">
        <v>3500000</v>
      </c>
      <c r="E102" s="4"/>
      <c r="F102" s="4">
        <v>3500000</v>
      </c>
      <c r="G102" s="4">
        <v>0</v>
      </c>
      <c r="H102" s="4">
        <v>0</v>
      </c>
      <c r="I102" s="4">
        <v>0</v>
      </c>
      <c r="J102" s="4">
        <v>0</v>
      </c>
      <c r="K102" s="4"/>
      <c r="L102" s="4"/>
      <c r="M102" s="4">
        <v>0</v>
      </c>
      <c r="N102" s="4">
        <v>1500000</v>
      </c>
      <c r="O102" s="4">
        <v>2000000</v>
      </c>
      <c r="P102" s="4"/>
      <c r="Q102" s="4"/>
      <c r="R102" s="4"/>
      <c r="S102" s="4"/>
      <c r="T102" s="4"/>
      <c r="U102" s="4">
        <v>1500000</v>
      </c>
      <c r="V102" s="4"/>
      <c r="W102" s="4">
        <v>1500000</v>
      </c>
      <c r="X102" s="4"/>
      <c r="Y102" s="4"/>
      <c r="Z102" s="4"/>
      <c r="AA102" s="4"/>
      <c r="AB102" s="3" t="s">
        <v>1333</v>
      </c>
      <c r="AC102" s="3">
        <v>743000</v>
      </c>
    </row>
    <row r="103" spans="1:29" ht="40.049999999999997" customHeight="1">
      <c r="A103" s="3">
        <f t="shared" si="1"/>
        <v>99</v>
      </c>
      <c r="B103" s="28">
        <v>20068</v>
      </c>
      <c r="C103" s="3" t="s">
        <v>918</v>
      </c>
      <c r="D103" s="4">
        <v>158000</v>
      </c>
      <c r="E103" s="4"/>
      <c r="F103" s="4">
        <v>158000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158000</v>
      </c>
      <c r="O103" s="4">
        <v>0</v>
      </c>
      <c r="P103" s="4">
        <v>0</v>
      </c>
      <c r="Q103" s="4"/>
      <c r="R103" s="4"/>
      <c r="S103" s="4">
        <v>0</v>
      </c>
      <c r="T103" s="4">
        <v>0</v>
      </c>
      <c r="U103" s="4">
        <v>158000</v>
      </c>
      <c r="V103" s="4"/>
      <c r="W103" s="4">
        <v>0</v>
      </c>
      <c r="X103" s="4"/>
      <c r="Y103" s="4"/>
      <c r="Z103" s="4"/>
      <c r="AA103" s="4">
        <v>158000</v>
      </c>
      <c r="AB103" s="3" t="s">
        <v>526</v>
      </c>
      <c r="AC103" s="3">
        <v>747000</v>
      </c>
    </row>
    <row r="104" spans="1:29" ht="40.049999999999997" customHeight="1">
      <c r="A104" s="3">
        <f t="shared" si="1"/>
        <v>100</v>
      </c>
      <c r="B104" s="28">
        <v>20069</v>
      </c>
      <c r="C104" s="3" t="s">
        <v>919</v>
      </c>
      <c r="D104" s="4">
        <v>33000</v>
      </c>
      <c r="E104" s="4"/>
      <c r="F104" s="4">
        <v>33000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33000</v>
      </c>
      <c r="O104" s="4">
        <v>0</v>
      </c>
      <c r="P104" s="4">
        <v>0</v>
      </c>
      <c r="Q104" s="4"/>
      <c r="R104" s="4"/>
      <c r="S104" s="4">
        <v>0</v>
      </c>
      <c r="T104" s="4">
        <v>0</v>
      </c>
      <c r="U104" s="4">
        <v>33000</v>
      </c>
      <c r="V104" s="4"/>
      <c r="W104" s="4">
        <v>0</v>
      </c>
      <c r="X104" s="4"/>
      <c r="Y104" s="4"/>
      <c r="Z104" s="4"/>
      <c r="AA104" s="4">
        <v>33000</v>
      </c>
      <c r="AB104" s="3" t="s">
        <v>526</v>
      </c>
      <c r="AC104" s="3">
        <v>747000</v>
      </c>
    </row>
    <row r="105" spans="1:29" ht="40.049999999999997" customHeight="1">
      <c r="A105" s="3">
        <f t="shared" si="1"/>
        <v>101</v>
      </c>
      <c r="B105" s="28">
        <v>20070</v>
      </c>
      <c r="C105" s="3" t="s">
        <v>920</v>
      </c>
      <c r="D105" s="4">
        <v>450000</v>
      </c>
      <c r="E105" s="4"/>
      <c r="F105" s="4">
        <v>450000</v>
      </c>
      <c r="G105" s="4"/>
      <c r="H105" s="4"/>
      <c r="I105" s="4"/>
      <c r="J105" s="4"/>
      <c r="K105" s="4"/>
      <c r="L105" s="4"/>
      <c r="M105" s="4"/>
      <c r="N105" s="4">
        <v>450000</v>
      </c>
      <c r="O105" s="4">
        <v>0</v>
      </c>
      <c r="P105" s="4"/>
      <c r="Q105" s="4"/>
      <c r="R105" s="4"/>
      <c r="S105" s="4"/>
      <c r="T105" s="4"/>
      <c r="U105" s="4">
        <v>450000</v>
      </c>
      <c r="V105" s="4"/>
      <c r="W105" s="4">
        <v>450000</v>
      </c>
      <c r="X105" s="4"/>
      <c r="Y105" s="4"/>
      <c r="Z105" s="4"/>
      <c r="AA105" s="4"/>
      <c r="AB105" s="3" t="s">
        <v>1334</v>
      </c>
      <c r="AC105" s="3">
        <v>829000</v>
      </c>
    </row>
    <row r="106" spans="1:29" ht="40.049999999999997" customHeight="1">
      <c r="A106" s="3">
        <f t="shared" si="1"/>
        <v>102</v>
      </c>
      <c r="B106" s="28">
        <v>20071</v>
      </c>
      <c r="C106" s="3" t="s">
        <v>1272</v>
      </c>
      <c r="D106" s="4">
        <v>450000</v>
      </c>
      <c r="E106" s="4"/>
      <c r="F106" s="4">
        <v>450000</v>
      </c>
      <c r="G106" s="4"/>
      <c r="H106" s="4"/>
      <c r="I106" s="4"/>
      <c r="J106" s="4"/>
      <c r="K106" s="4"/>
      <c r="L106" s="4"/>
      <c r="M106" s="4"/>
      <c r="N106" s="4">
        <v>450000</v>
      </c>
      <c r="O106" s="4">
        <v>0</v>
      </c>
      <c r="P106" s="4"/>
      <c r="Q106" s="4"/>
      <c r="R106" s="4"/>
      <c r="S106" s="4"/>
      <c r="T106" s="4"/>
      <c r="U106" s="4">
        <v>450000</v>
      </c>
      <c r="V106" s="4"/>
      <c r="W106" s="4">
        <v>450000</v>
      </c>
      <c r="X106" s="4"/>
      <c r="Y106" s="4"/>
      <c r="Z106" s="4"/>
      <c r="AA106" s="4"/>
      <c r="AB106" s="3" t="s">
        <v>1411</v>
      </c>
      <c r="AC106" s="3">
        <v>747000</v>
      </c>
    </row>
    <row r="107" spans="1:29" ht="40.049999999999997" customHeight="1">
      <c r="A107" s="3">
        <f t="shared" si="1"/>
        <v>103</v>
      </c>
      <c r="B107" s="28">
        <v>20072</v>
      </c>
      <c r="C107" s="3" t="s">
        <v>1188</v>
      </c>
      <c r="D107" s="4">
        <v>2000000</v>
      </c>
      <c r="E107" s="4"/>
      <c r="F107" s="4">
        <v>2000000</v>
      </c>
      <c r="G107" s="4"/>
      <c r="H107" s="4"/>
      <c r="I107" s="4"/>
      <c r="J107" s="4"/>
      <c r="K107" s="4"/>
      <c r="L107" s="4"/>
      <c r="M107" s="4"/>
      <c r="N107" s="4">
        <v>1000000</v>
      </c>
      <c r="O107" s="4">
        <v>1000000</v>
      </c>
      <c r="P107" s="4"/>
      <c r="Q107" s="4"/>
      <c r="R107" s="4"/>
      <c r="S107" s="4"/>
      <c r="T107" s="4"/>
      <c r="U107" s="4">
        <v>1000000</v>
      </c>
      <c r="V107" s="4"/>
      <c r="W107" s="4">
        <v>1000000</v>
      </c>
      <c r="X107" s="4"/>
      <c r="Y107" s="4"/>
      <c r="Z107" s="4"/>
      <c r="AA107" s="4"/>
      <c r="AB107" s="3" t="s">
        <v>1335</v>
      </c>
      <c r="AC107" s="3">
        <v>743000</v>
      </c>
    </row>
    <row r="108" spans="1:29" ht="40.049999999999997" customHeight="1">
      <c r="A108" s="3">
        <f t="shared" si="1"/>
        <v>104</v>
      </c>
      <c r="B108" s="28">
        <v>20073</v>
      </c>
      <c r="C108" s="3" t="s">
        <v>1199</v>
      </c>
      <c r="D108" s="4">
        <v>300000</v>
      </c>
      <c r="E108" s="4"/>
      <c r="F108" s="4">
        <v>300000</v>
      </c>
      <c r="G108" s="4"/>
      <c r="H108" s="4"/>
      <c r="I108" s="4"/>
      <c r="J108" s="4"/>
      <c r="K108" s="4"/>
      <c r="L108" s="4"/>
      <c r="M108" s="4"/>
      <c r="N108" s="4">
        <v>300000</v>
      </c>
      <c r="O108" s="4">
        <v>0</v>
      </c>
      <c r="P108" s="4"/>
      <c r="Q108" s="4"/>
      <c r="R108" s="4"/>
      <c r="S108" s="4"/>
      <c r="T108" s="4"/>
      <c r="U108" s="4">
        <v>300000</v>
      </c>
      <c r="V108" s="4"/>
      <c r="W108" s="4">
        <v>0</v>
      </c>
      <c r="X108" s="4"/>
      <c r="Y108" s="4"/>
      <c r="Z108" s="4"/>
      <c r="AA108" s="4">
        <v>300000</v>
      </c>
      <c r="AB108" s="3" t="s">
        <v>528</v>
      </c>
      <c r="AC108" s="3">
        <v>810000</v>
      </c>
    </row>
    <row r="109" spans="1:29" ht="40.049999999999997" customHeight="1">
      <c r="A109" s="3">
        <f t="shared" si="1"/>
        <v>105</v>
      </c>
      <c r="B109" s="28">
        <v>20074</v>
      </c>
      <c r="C109" s="3" t="s">
        <v>1273</v>
      </c>
      <c r="D109" s="4">
        <v>1500000</v>
      </c>
      <c r="E109" s="4"/>
      <c r="F109" s="4">
        <v>1500000</v>
      </c>
      <c r="G109" s="4"/>
      <c r="H109" s="4"/>
      <c r="I109" s="4"/>
      <c r="J109" s="4"/>
      <c r="K109" s="4"/>
      <c r="L109" s="4"/>
      <c r="M109" s="4"/>
      <c r="N109" s="4">
        <v>700000</v>
      </c>
      <c r="O109" s="4">
        <v>800000</v>
      </c>
      <c r="P109" s="4"/>
      <c r="Q109" s="4"/>
      <c r="R109" s="4"/>
      <c r="S109" s="4"/>
      <c r="T109" s="4"/>
      <c r="U109" s="4">
        <v>700000</v>
      </c>
      <c r="V109" s="4"/>
      <c r="W109" s="4">
        <v>700000</v>
      </c>
      <c r="X109" s="4"/>
      <c r="Y109" s="4"/>
      <c r="Z109" s="4"/>
      <c r="AA109" s="4"/>
      <c r="AB109" s="3" t="s">
        <v>1336</v>
      </c>
      <c r="AC109" s="3">
        <v>930000</v>
      </c>
    </row>
    <row r="110" spans="1:29" ht="40.049999999999997" customHeight="1">
      <c r="A110" s="29">
        <f>A109</f>
        <v>105</v>
      </c>
      <c r="B110" s="29"/>
      <c r="C110" s="29" t="s">
        <v>809</v>
      </c>
      <c r="D110" s="60">
        <v>764460976</v>
      </c>
      <c r="E110" s="60">
        <v>742170430</v>
      </c>
      <c r="F110" s="60">
        <v>22290546</v>
      </c>
      <c r="G110" s="60">
        <v>545765720</v>
      </c>
      <c r="H110" s="60">
        <v>451317336.09000009</v>
      </c>
      <c r="I110" s="60">
        <v>8974344</v>
      </c>
      <c r="J110" s="60">
        <v>58078463.219999999</v>
      </c>
      <c r="K110" s="60">
        <v>67052807.219999991</v>
      </c>
      <c r="L110" s="60">
        <v>518370143.30999988</v>
      </c>
      <c r="M110" s="60">
        <v>42431129.690000005</v>
      </c>
      <c r="N110" s="60">
        <v>78816000</v>
      </c>
      <c r="O110" s="60">
        <v>124843703</v>
      </c>
      <c r="P110" s="60">
        <v>27395576.689999998</v>
      </c>
      <c r="Q110" s="60">
        <v>10450000</v>
      </c>
      <c r="R110" s="60">
        <v>7800553</v>
      </c>
      <c r="S110" s="60">
        <v>18250553</v>
      </c>
      <c r="T110" s="60">
        <v>3215000</v>
      </c>
      <c r="U110" s="60">
        <v>75601000</v>
      </c>
      <c r="V110" s="60">
        <v>-900000</v>
      </c>
      <c r="W110" s="60">
        <v>60879061</v>
      </c>
      <c r="X110" s="60">
        <v>0</v>
      </c>
      <c r="Y110" s="60">
        <v>0</v>
      </c>
      <c r="Z110" s="60">
        <v>0</v>
      </c>
      <c r="AA110" s="60">
        <v>15621939</v>
      </c>
      <c r="AB110" s="29"/>
      <c r="AC110" s="29"/>
    </row>
    <row r="111" spans="1:29" ht="13.95" customHeight="1">
      <c r="A111" s="479"/>
      <c r="B111" s="446"/>
      <c r="C111" s="446"/>
      <c r="D111" s="16"/>
      <c r="N111" s="417"/>
      <c r="O111" s="440"/>
      <c r="P111" s="184"/>
      <c r="Q111" s="440"/>
      <c r="R111" s="184"/>
      <c r="S111" s="184"/>
      <c r="T111" s="184"/>
      <c r="U111" s="184"/>
      <c r="V111" s="184"/>
    </row>
    <row r="112" spans="1:29">
      <c r="N112" s="184"/>
      <c r="O112" s="184"/>
      <c r="P112" s="184"/>
      <c r="Q112" s="184"/>
      <c r="R112" s="184"/>
      <c r="S112" s="184"/>
      <c r="T112" s="184"/>
      <c r="U112" s="184"/>
      <c r="V112" s="184"/>
    </row>
  </sheetData>
  <conditionalFormatting sqref="AB4">
    <cfRule type="cellIs" dxfId="13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2"/>
  <sheetViews>
    <sheetView showZeros="0" rightToLeft="1" tabSelected="1" zoomScale="110" zoomScaleNormal="110" workbookViewId="0">
      <pane xSplit="4" ySplit="4" topLeftCell="L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.88671875" defaultRowHeight="13.2"/>
  <cols>
    <col min="1" max="1" width="3.77734375" style="371" customWidth="1"/>
    <col min="2" max="2" width="5.77734375" style="371" customWidth="1"/>
    <col min="3" max="3" width="25.77734375" style="371" customWidth="1"/>
    <col min="4" max="4" width="10.77734375" style="371" customWidth="1"/>
    <col min="5" max="5" width="11.109375" style="371" hidden="1" customWidth="1"/>
    <col min="6" max="6" width="9.77734375" style="371" hidden="1" customWidth="1"/>
    <col min="7" max="8" width="11.109375" style="371" hidden="1" customWidth="1"/>
    <col min="9" max="10" width="10.109375" style="371" hidden="1" customWidth="1"/>
    <col min="11" max="11" width="10.44140625" style="371" hidden="1" customWidth="1"/>
    <col min="12" max="12" width="10.77734375" style="371" customWidth="1"/>
    <col min="13" max="14" width="9.77734375" style="371" customWidth="1"/>
    <col min="15" max="15" width="10.77734375" style="371" customWidth="1"/>
    <col min="16" max="16" width="10.109375" style="371" hidden="1" customWidth="1"/>
    <col min="17" max="17" width="9.88671875" style="371" hidden="1" customWidth="1"/>
    <col min="18" max="18" width="8.88671875" style="371" hidden="1" customWidth="1"/>
    <col min="19" max="19" width="10.6640625" style="371" hidden="1" customWidth="1"/>
    <col min="20" max="20" width="8.77734375" style="371" customWidth="1"/>
    <col min="21" max="21" width="9.77734375" style="371" customWidth="1"/>
    <col min="22" max="22" width="8.77734375" style="371" customWidth="1"/>
    <col min="23" max="23" width="9.77734375" style="371" customWidth="1"/>
    <col min="24" max="24" width="6.33203125" style="371" hidden="1" customWidth="1"/>
    <col min="25" max="25" width="9.109375" style="371" hidden="1" customWidth="1"/>
    <col min="26" max="26" width="9.5546875" style="371" hidden="1" customWidth="1"/>
    <col min="27" max="27" width="9.77734375" style="371" customWidth="1"/>
    <col min="28" max="28" width="35.77734375" style="184" customWidth="1"/>
    <col min="29" max="29" width="6.88671875" style="184" hidden="1" customWidth="1"/>
    <col min="30" max="30" width="21.44140625" customWidth="1"/>
    <col min="31" max="31" width="20.5546875" customWidth="1"/>
    <col min="32" max="32" width="28.109375" customWidth="1"/>
    <col min="33" max="33" width="30" customWidth="1"/>
    <col min="34" max="34" width="7.44140625" customWidth="1"/>
    <col min="35" max="35" width="4.5546875" customWidth="1"/>
    <col min="36" max="36" width="16.33203125" customWidth="1"/>
    <col min="37" max="38" width="21.33203125" customWidth="1"/>
    <col min="39" max="40" width="11.33203125" customWidth="1"/>
    <col min="41" max="41" width="22.44140625" customWidth="1"/>
    <col min="42" max="42" width="12.44140625" customWidth="1"/>
    <col min="43" max="43" width="14.88671875" customWidth="1"/>
  </cols>
  <sheetData>
    <row r="1" spans="1:29" ht="13.8">
      <c r="A1" s="26"/>
      <c r="B1" s="337"/>
      <c r="C1" s="337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1"/>
    </row>
    <row r="2" spans="1:29" ht="18">
      <c r="A2" s="58" t="s">
        <v>700</v>
      </c>
      <c r="B2" s="58"/>
      <c r="C2" s="337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1"/>
    </row>
    <row r="3" spans="1:29" ht="21">
      <c r="B3" s="375"/>
      <c r="C3" s="375"/>
      <c r="D3" s="13"/>
      <c r="E3" s="13"/>
      <c r="F3" s="13"/>
      <c r="G3" s="13"/>
      <c r="H3" s="13"/>
      <c r="I3" s="13"/>
      <c r="J3" s="13"/>
      <c r="K3" s="13"/>
      <c r="L3" s="13"/>
      <c r="M3" s="376"/>
      <c r="N3" s="13"/>
      <c r="O3" s="13"/>
      <c r="P3" s="13"/>
      <c r="Q3" s="13"/>
      <c r="R3" s="13"/>
      <c r="S3" s="13"/>
      <c r="T3" s="13"/>
      <c r="U3" s="11"/>
      <c r="V3" s="11"/>
      <c r="W3" s="11"/>
      <c r="X3" s="11"/>
      <c r="Y3" s="11"/>
      <c r="Z3" s="11"/>
      <c r="AA3" s="11"/>
      <c r="AB3" s="17"/>
      <c r="AC3" s="11"/>
    </row>
    <row r="4" spans="1:29" ht="82.8">
      <c r="A4" s="333" t="s">
        <v>0</v>
      </c>
      <c r="B4" s="333" t="s">
        <v>1</v>
      </c>
      <c r="C4" s="333" t="s">
        <v>2</v>
      </c>
      <c r="D4" s="333" t="s">
        <v>3</v>
      </c>
      <c r="E4" s="333" t="s">
        <v>4</v>
      </c>
      <c r="F4" s="333" t="s">
        <v>5</v>
      </c>
      <c r="G4" s="333" t="s">
        <v>6</v>
      </c>
      <c r="H4" s="333" t="s">
        <v>7</v>
      </c>
      <c r="I4" s="333" t="s">
        <v>9</v>
      </c>
      <c r="J4" s="333" t="s">
        <v>132</v>
      </c>
      <c r="K4" s="333" t="s">
        <v>10</v>
      </c>
      <c r="L4" s="333" t="s">
        <v>11</v>
      </c>
      <c r="M4" s="333" t="s">
        <v>875</v>
      </c>
      <c r="N4" s="333" t="s">
        <v>876</v>
      </c>
      <c r="O4" s="9" t="s">
        <v>877</v>
      </c>
      <c r="P4" s="332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333" t="s">
        <v>13</v>
      </c>
      <c r="W4" s="333" t="s">
        <v>14</v>
      </c>
      <c r="X4" s="333" t="s">
        <v>15</v>
      </c>
      <c r="Y4" s="333" t="s">
        <v>225</v>
      </c>
      <c r="Z4" s="333" t="s">
        <v>575</v>
      </c>
      <c r="AA4" s="333" t="s">
        <v>79</v>
      </c>
      <c r="AB4" s="478" t="s">
        <v>257</v>
      </c>
      <c r="AC4" s="333" t="s">
        <v>16</v>
      </c>
    </row>
    <row r="5" spans="1:29" ht="45" customHeight="1">
      <c r="A5" s="3">
        <v>1</v>
      </c>
      <c r="B5" s="3">
        <v>1210</v>
      </c>
      <c r="C5" s="232" t="s">
        <v>61</v>
      </c>
      <c r="D5" s="4">
        <v>113550000</v>
      </c>
      <c r="E5" s="4">
        <v>113550000</v>
      </c>
      <c r="F5" s="4">
        <v>0</v>
      </c>
      <c r="G5" s="4">
        <v>102200000</v>
      </c>
      <c r="H5" s="4">
        <v>100108466</v>
      </c>
      <c r="I5" s="4">
        <v>0</v>
      </c>
      <c r="J5" s="4">
        <v>1001101</v>
      </c>
      <c r="K5" s="4">
        <v>1001101</v>
      </c>
      <c r="L5" s="4">
        <v>101109567</v>
      </c>
      <c r="M5" s="4">
        <v>3090433</v>
      </c>
      <c r="N5" s="4">
        <v>7000000</v>
      </c>
      <c r="O5" s="4">
        <v>2350000</v>
      </c>
      <c r="P5" s="4">
        <v>1090433</v>
      </c>
      <c r="Q5" s="4">
        <v>2000000</v>
      </c>
      <c r="R5" s="4">
        <v>0</v>
      </c>
      <c r="S5" s="4">
        <v>2000000</v>
      </c>
      <c r="T5" s="4">
        <v>0</v>
      </c>
      <c r="U5" s="4">
        <v>7000000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7000000</v>
      </c>
      <c r="AB5" s="232" t="s">
        <v>462</v>
      </c>
      <c r="AC5" s="3" t="e">
        <f>#REF!</f>
        <v>#REF!</v>
      </c>
    </row>
    <row r="6" spans="1:29" ht="45" customHeight="1">
      <c r="A6" s="3">
        <f t="shared" ref="A6:A69" si="0">A5+1</f>
        <v>2</v>
      </c>
      <c r="B6" s="3">
        <v>1247</v>
      </c>
      <c r="C6" s="232" t="s">
        <v>47</v>
      </c>
      <c r="D6" s="4">
        <v>9750000</v>
      </c>
      <c r="E6" s="4">
        <v>9500000</v>
      </c>
      <c r="F6" s="4">
        <v>250000</v>
      </c>
      <c r="G6" s="4">
        <v>9450000</v>
      </c>
      <c r="H6" s="4">
        <v>9137992</v>
      </c>
      <c r="I6" s="4">
        <v>5068</v>
      </c>
      <c r="J6" s="4">
        <v>196072</v>
      </c>
      <c r="K6" s="4">
        <v>201140</v>
      </c>
      <c r="L6" s="4">
        <v>9339132</v>
      </c>
      <c r="M6" s="4">
        <v>110868</v>
      </c>
      <c r="N6" s="4">
        <v>300000</v>
      </c>
      <c r="O6" s="4">
        <v>0</v>
      </c>
      <c r="P6" s="4">
        <v>110868</v>
      </c>
      <c r="Q6" s="4">
        <v>0</v>
      </c>
      <c r="R6" s="4">
        <v>0</v>
      </c>
      <c r="S6" s="4">
        <v>0</v>
      </c>
      <c r="T6" s="4">
        <v>0</v>
      </c>
      <c r="U6" s="4">
        <v>300000</v>
      </c>
      <c r="V6" s="4">
        <v>0</v>
      </c>
      <c r="W6" s="4">
        <v>300000</v>
      </c>
      <c r="X6" s="4">
        <v>0</v>
      </c>
      <c r="Y6" s="4">
        <v>0</v>
      </c>
      <c r="Z6" s="4">
        <v>0</v>
      </c>
      <c r="AA6" s="4">
        <v>0</v>
      </c>
      <c r="AB6" s="232" t="s">
        <v>701</v>
      </c>
      <c r="AC6" s="3" t="e">
        <f>#REF!</f>
        <v>#REF!</v>
      </c>
    </row>
    <row r="7" spans="1:29" ht="45" customHeight="1">
      <c r="A7" s="3">
        <f t="shared" si="0"/>
        <v>3</v>
      </c>
      <c r="B7" s="3">
        <v>1253</v>
      </c>
      <c r="C7" s="232" t="s">
        <v>48</v>
      </c>
      <c r="D7" s="4">
        <v>6100000</v>
      </c>
      <c r="E7" s="4">
        <v>5600000</v>
      </c>
      <c r="F7" s="4">
        <v>500000</v>
      </c>
      <c r="G7" s="4">
        <v>5600000</v>
      </c>
      <c r="H7" s="4">
        <v>5553194</v>
      </c>
      <c r="I7" s="4">
        <v>0</v>
      </c>
      <c r="J7" s="4">
        <v>46745</v>
      </c>
      <c r="K7" s="4">
        <v>46745</v>
      </c>
      <c r="L7" s="4">
        <v>5599939</v>
      </c>
      <c r="M7" s="4">
        <v>61</v>
      </c>
      <c r="N7" s="4">
        <v>500000</v>
      </c>
      <c r="O7" s="4">
        <v>0</v>
      </c>
      <c r="P7" s="4">
        <v>61</v>
      </c>
      <c r="Q7" s="4">
        <v>0</v>
      </c>
      <c r="R7" s="4">
        <v>0</v>
      </c>
      <c r="S7" s="4">
        <v>0</v>
      </c>
      <c r="T7" s="4">
        <v>0</v>
      </c>
      <c r="U7" s="4">
        <v>500000</v>
      </c>
      <c r="V7" s="4">
        <v>0</v>
      </c>
      <c r="W7" s="4">
        <v>500000</v>
      </c>
      <c r="X7" s="4">
        <v>0</v>
      </c>
      <c r="Y7" s="4">
        <v>0</v>
      </c>
      <c r="Z7" s="4">
        <v>0</v>
      </c>
      <c r="AA7" s="4">
        <v>0</v>
      </c>
      <c r="AB7" s="232" t="s">
        <v>1405</v>
      </c>
      <c r="AC7" s="3" t="e">
        <f>#REF!</f>
        <v>#REF!</v>
      </c>
    </row>
    <row r="8" spans="1:29" ht="69">
      <c r="A8" s="3">
        <f t="shared" si="0"/>
        <v>4</v>
      </c>
      <c r="B8" s="3">
        <v>1254</v>
      </c>
      <c r="C8" s="232" t="s">
        <v>300</v>
      </c>
      <c r="D8" s="4">
        <v>53372866</v>
      </c>
      <c r="E8" s="4">
        <v>49000000</v>
      </c>
      <c r="F8" s="4">
        <v>4372866</v>
      </c>
      <c r="G8" s="4">
        <v>47072866</v>
      </c>
      <c r="H8" s="4">
        <v>43825019.25</v>
      </c>
      <c r="I8" s="4">
        <v>0</v>
      </c>
      <c r="J8" s="4">
        <v>2882981</v>
      </c>
      <c r="K8" s="4">
        <v>2882981</v>
      </c>
      <c r="L8" s="4">
        <v>46708000.25</v>
      </c>
      <c r="M8" s="4">
        <v>664865.75</v>
      </c>
      <c r="N8" s="4">
        <v>4000000</v>
      </c>
      <c r="O8" s="4">
        <v>2000000</v>
      </c>
      <c r="P8" s="4">
        <v>364865.75</v>
      </c>
      <c r="Q8" s="4">
        <v>0</v>
      </c>
      <c r="R8" s="4">
        <v>300000</v>
      </c>
      <c r="S8" s="4">
        <v>300000</v>
      </c>
      <c r="T8" s="4">
        <v>0</v>
      </c>
      <c r="U8" s="4">
        <v>4000000</v>
      </c>
      <c r="V8" s="4">
        <v>0</v>
      </c>
      <c r="W8" s="4">
        <v>4000000</v>
      </c>
      <c r="X8" s="4">
        <v>0</v>
      </c>
      <c r="Y8" s="4">
        <v>0</v>
      </c>
      <c r="Z8" s="4">
        <v>0</v>
      </c>
      <c r="AA8" s="4">
        <v>0</v>
      </c>
      <c r="AB8" s="232" t="s">
        <v>1240</v>
      </c>
      <c r="AC8" s="3" t="e">
        <f>#REF!</f>
        <v>#REF!</v>
      </c>
    </row>
    <row r="9" spans="1:29" ht="45" customHeight="1">
      <c r="A9" s="3">
        <f t="shared" si="0"/>
        <v>5</v>
      </c>
      <c r="B9" s="3">
        <v>1342</v>
      </c>
      <c r="C9" s="232" t="s">
        <v>68</v>
      </c>
      <c r="D9" s="4">
        <v>4700000</v>
      </c>
      <c r="E9" s="4">
        <v>4700000</v>
      </c>
      <c r="F9" s="4">
        <v>0</v>
      </c>
      <c r="G9" s="4">
        <v>3390000</v>
      </c>
      <c r="H9" s="4">
        <v>2885760</v>
      </c>
      <c r="I9" s="4">
        <v>0</v>
      </c>
      <c r="J9" s="4">
        <v>79962</v>
      </c>
      <c r="K9" s="4">
        <v>79962</v>
      </c>
      <c r="L9" s="4">
        <v>2965722</v>
      </c>
      <c r="M9" s="4">
        <v>24278</v>
      </c>
      <c r="N9" s="4">
        <v>950000</v>
      </c>
      <c r="O9" s="4">
        <v>760000</v>
      </c>
      <c r="P9" s="4">
        <v>424278</v>
      </c>
      <c r="Q9" s="4">
        <v>550000</v>
      </c>
      <c r="R9" s="4">
        <v>0</v>
      </c>
      <c r="S9" s="4">
        <v>550000</v>
      </c>
      <c r="T9" s="4">
        <v>950000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232" t="s">
        <v>939</v>
      </c>
      <c r="AC9" s="3" t="e">
        <f>#REF!</f>
        <v>#REF!</v>
      </c>
    </row>
    <row r="10" spans="1:29" ht="55.2">
      <c r="A10" s="3">
        <f t="shared" si="0"/>
        <v>6</v>
      </c>
      <c r="B10" s="3">
        <v>1343</v>
      </c>
      <c r="C10" s="232" t="s">
        <v>69</v>
      </c>
      <c r="D10" s="4">
        <v>7570000</v>
      </c>
      <c r="E10" s="4">
        <v>7170000</v>
      </c>
      <c r="F10" s="4">
        <v>400000</v>
      </c>
      <c r="G10" s="4">
        <v>7170000</v>
      </c>
      <c r="H10" s="4">
        <v>6659246</v>
      </c>
      <c r="I10" s="4">
        <v>0</v>
      </c>
      <c r="J10" s="4">
        <v>387904</v>
      </c>
      <c r="K10" s="4">
        <v>387904</v>
      </c>
      <c r="L10" s="4">
        <v>7047150</v>
      </c>
      <c r="M10" s="4">
        <v>122850</v>
      </c>
      <c r="N10" s="4">
        <v>400000</v>
      </c>
      <c r="O10" s="4">
        <v>0</v>
      </c>
      <c r="P10" s="4">
        <v>122850</v>
      </c>
      <c r="Q10" s="4">
        <v>0</v>
      </c>
      <c r="R10" s="4">
        <v>0</v>
      </c>
      <c r="S10" s="4">
        <v>0</v>
      </c>
      <c r="T10" s="4">
        <v>0</v>
      </c>
      <c r="U10" s="4">
        <v>400000</v>
      </c>
      <c r="V10" s="4">
        <v>0</v>
      </c>
      <c r="W10" s="4">
        <v>400000</v>
      </c>
      <c r="X10" s="4">
        <v>0</v>
      </c>
      <c r="Y10" s="4">
        <v>0</v>
      </c>
      <c r="Z10" s="4">
        <v>0</v>
      </c>
      <c r="AA10" s="4">
        <v>0</v>
      </c>
      <c r="AB10" s="232" t="s">
        <v>518</v>
      </c>
      <c r="AC10" s="3" t="e">
        <f>#REF!</f>
        <v>#REF!</v>
      </c>
    </row>
    <row r="11" spans="1:29" ht="45" customHeight="1">
      <c r="A11" s="3">
        <f t="shared" si="0"/>
        <v>7</v>
      </c>
      <c r="B11" s="3">
        <v>1415</v>
      </c>
      <c r="C11" s="232" t="s">
        <v>1137</v>
      </c>
      <c r="D11" s="4">
        <v>1900000</v>
      </c>
      <c r="E11" s="4">
        <v>1800000</v>
      </c>
      <c r="F11" s="4">
        <v>100000</v>
      </c>
      <c r="G11" s="4">
        <v>1800000</v>
      </c>
      <c r="H11" s="4">
        <v>1566198</v>
      </c>
      <c r="I11" s="4">
        <v>0</v>
      </c>
      <c r="J11" s="4">
        <v>133757</v>
      </c>
      <c r="K11" s="4">
        <v>133757</v>
      </c>
      <c r="L11" s="4">
        <v>1699955</v>
      </c>
      <c r="M11" s="4">
        <v>200045</v>
      </c>
      <c r="N11" s="4">
        <v>0</v>
      </c>
      <c r="O11" s="4">
        <v>0</v>
      </c>
      <c r="P11" s="4">
        <v>100045</v>
      </c>
      <c r="Q11" s="4">
        <v>0</v>
      </c>
      <c r="R11" s="4">
        <v>100000</v>
      </c>
      <c r="S11" s="4">
        <v>100000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32" t="s">
        <v>1407</v>
      </c>
      <c r="AC11" s="3" t="e">
        <f>#REF!</f>
        <v>#REF!</v>
      </c>
    </row>
    <row r="12" spans="1:29" ht="45" customHeight="1">
      <c r="A12" s="3">
        <f t="shared" si="0"/>
        <v>8</v>
      </c>
      <c r="B12" s="3">
        <v>1416</v>
      </c>
      <c r="C12" s="232" t="s">
        <v>98</v>
      </c>
      <c r="D12" s="4">
        <v>3600000</v>
      </c>
      <c r="E12" s="4">
        <v>3000000</v>
      </c>
      <c r="F12" s="4">
        <v>600000</v>
      </c>
      <c r="G12" s="4">
        <v>2950000</v>
      </c>
      <c r="H12" s="4">
        <v>2739594</v>
      </c>
      <c r="I12" s="4">
        <v>0</v>
      </c>
      <c r="J12" s="4">
        <v>122748</v>
      </c>
      <c r="K12" s="4">
        <v>122748</v>
      </c>
      <c r="L12" s="4">
        <v>2862342</v>
      </c>
      <c r="M12" s="4">
        <v>137658</v>
      </c>
      <c r="N12" s="4">
        <v>600000</v>
      </c>
      <c r="O12" s="4">
        <v>0</v>
      </c>
      <c r="P12" s="4">
        <v>87658</v>
      </c>
      <c r="Q12" s="4">
        <v>50000</v>
      </c>
      <c r="R12" s="4">
        <v>0</v>
      </c>
      <c r="S12" s="4">
        <v>50000</v>
      </c>
      <c r="T12" s="4">
        <v>0</v>
      </c>
      <c r="U12" s="4">
        <v>600000</v>
      </c>
      <c r="V12" s="4">
        <v>0</v>
      </c>
      <c r="W12" s="4">
        <v>600000</v>
      </c>
      <c r="X12" s="4">
        <v>0</v>
      </c>
      <c r="Y12" s="4">
        <v>0</v>
      </c>
      <c r="Z12" s="4">
        <v>0</v>
      </c>
      <c r="AA12" s="4">
        <v>0</v>
      </c>
      <c r="AB12" s="232" t="s">
        <v>1406</v>
      </c>
      <c r="AC12" s="3" t="e">
        <f>#REF!</f>
        <v>#REF!</v>
      </c>
    </row>
    <row r="13" spans="1:29" ht="55.2">
      <c r="A13" s="3">
        <f t="shared" si="0"/>
        <v>9</v>
      </c>
      <c r="B13" s="3">
        <v>1435</v>
      </c>
      <c r="C13" s="232" t="s">
        <v>840</v>
      </c>
      <c r="D13" s="4">
        <v>42000000</v>
      </c>
      <c r="E13" s="4">
        <v>35374320</v>
      </c>
      <c r="F13" s="4">
        <v>6625680</v>
      </c>
      <c r="G13" s="4">
        <v>33624320</v>
      </c>
      <c r="H13" s="4">
        <v>31230172</v>
      </c>
      <c r="I13" s="4">
        <v>0</v>
      </c>
      <c r="J13" s="4">
        <v>1155873</v>
      </c>
      <c r="K13" s="4">
        <v>1155873</v>
      </c>
      <c r="L13" s="4">
        <v>32386045</v>
      </c>
      <c r="M13" s="4">
        <v>2988275</v>
      </c>
      <c r="N13" s="4">
        <v>3000000</v>
      </c>
      <c r="O13" s="4">
        <v>3625680</v>
      </c>
      <c r="P13" s="4">
        <v>1238275</v>
      </c>
      <c r="Q13" s="4">
        <v>1750000</v>
      </c>
      <c r="R13" s="4">
        <v>0</v>
      </c>
      <c r="S13" s="4">
        <v>1750000</v>
      </c>
      <c r="T13" s="4">
        <v>0</v>
      </c>
      <c r="U13" s="4">
        <v>3000000</v>
      </c>
      <c r="V13" s="4">
        <v>0</v>
      </c>
      <c r="W13" s="4">
        <v>3000000</v>
      </c>
      <c r="X13" s="4">
        <v>0</v>
      </c>
      <c r="Y13" s="4">
        <v>0</v>
      </c>
      <c r="Z13" s="4">
        <v>0</v>
      </c>
      <c r="AA13" s="4">
        <v>0</v>
      </c>
      <c r="AB13" s="232" t="s">
        <v>796</v>
      </c>
      <c r="AC13" s="3" t="e">
        <f>#REF!</f>
        <v>#REF!</v>
      </c>
    </row>
    <row r="14" spans="1:29" ht="45" customHeight="1">
      <c r="A14" s="3">
        <f t="shared" si="0"/>
        <v>10</v>
      </c>
      <c r="B14" s="3">
        <v>1477</v>
      </c>
      <c r="C14" s="232" t="s">
        <v>1519</v>
      </c>
      <c r="D14" s="4">
        <v>9350000</v>
      </c>
      <c r="E14" s="4">
        <v>9350000</v>
      </c>
      <c r="F14" s="4">
        <v>0</v>
      </c>
      <c r="G14" s="4">
        <v>7650000</v>
      </c>
      <c r="H14" s="4">
        <v>3936318</v>
      </c>
      <c r="I14" s="4">
        <v>0</v>
      </c>
      <c r="J14" s="4">
        <v>2170357</v>
      </c>
      <c r="K14" s="4">
        <v>2170357</v>
      </c>
      <c r="L14" s="4">
        <v>6106675</v>
      </c>
      <c r="M14" s="4">
        <v>1543325</v>
      </c>
      <c r="N14" s="4">
        <v>700000</v>
      </c>
      <c r="O14" s="4">
        <v>1000000</v>
      </c>
      <c r="P14" s="4">
        <v>1543325</v>
      </c>
      <c r="Q14" s="4">
        <v>0</v>
      </c>
      <c r="R14" s="4">
        <v>0</v>
      </c>
      <c r="S14" s="4">
        <v>0</v>
      </c>
      <c r="T14" s="4">
        <v>0</v>
      </c>
      <c r="U14" s="4">
        <v>700000</v>
      </c>
      <c r="V14" s="4">
        <v>0</v>
      </c>
      <c r="W14" s="4">
        <v>700000</v>
      </c>
      <c r="X14" s="4">
        <v>0</v>
      </c>
      <c r="Y14" s="4">
        <v>0</v>
      </c>
      <c r="Z14" s="4">
        <v>0</v>
      </c>
      <c r="AA14" s="4">
        <v>0</v>
      </c>
      <c r="AB14" s="232" t="s">
        <v>1310</v>
      </c>
      <c r="AC14" s="3" t="e">
        <f>#REF!</f>
        <v>#REF!</v>
      </c>
    </row>
    <row r="15" spans="1:29" ht="45" customHeight="1">
      <c r="A15" s="3">
        <f t="shared" si="0"/>
        <v>11</v>
      </c>
      <c r="B15" s="3">
        <v>1489</v>
      </c>
      <c r="C15" s="232" t="s">
        <v>286</v>
      </c>
      <c r="D15" s="4">
        <v>68500000</v>
      </c>
      <c r="E15" s="4">
        <v>61500000</v>
      </c>
      <c r="F15" s="4">
        <v>7000000</v>
      </c>
      <c r="G15" s="4">
        <v>59000000</v>
      </c>
      <c r="H15" s="4">
        <v>51716228</v>
      </c>
      <c r="I15" s="4">
        <v>0</v>
      </c>
      <c r="J15" s="4">
        <v>4754364</v>
      </c>
      <c r="K15" s="4">
        <v>4754364</v>
      </c>
      <c r="L15" s="4">
        <v>56470592</v>
      </c>
      <c r="M15" s="4">
        <v>5029408</v>
      </c>
      <c r="N15" s="4">
        <v>5000000</v>
      </c>
      <c r="O15" s="4">
        <v>2000000</v>
      </c>
      <c r="P15" s="4">
        <v>2529408</v>
      </c>
      <c r="Q15" s="4">
        <v>2500000</v>
      </c>
      <c r="R15" s="4">
        <v>0</v>
      </c>
      <c r="S15" s="4">
        <v>2500000</v>
      </c>
      <c r="T15" s="4">
        <v>0</v>
      </c>
      <c r="U15" s="4">
        <v>5000000</v>
      </c>
      <c r="V15" s="4">
        <v>0</v>
      </c>
      <c r="W15" s="4">
        <v>5000000</v>
      </c>
      <c r="X15" s="4">
        <v>0</v>
      </c>
      <c r="Y15" s="4">
        <v>0</v>
      </c>
      <c r="Z15" s="4">
        <v>0</v>
      </c>
      <c r="AA15" s="4">
        <v>0</v>
      </c>
      <c r="AB15" s="232" t="s">
        <v>591</v>
      </c>
      <c r="AC15" s="3" t="e">
        <f>#REF!</f>
        <v>#REF!</v>
      </c>
    </row>
    <row r="16" spans="1:29" ht="69">
      <c r="A16" s="3">
        <f t="shared" si="0"/>
        <v>12</v>
      </c>
      <c r="B16" s="3">
        <v>1504</v>
      </c>
      <c r="C16" s="232" t="s">
        <v>70</v>
      </c>
      <c r="D16" s="4">
        <v>2500000</v>
      </c>
      <c r="E16" s="4">
        <v>2500000</v>
      </c>
      <c r="F16" s="4">
        <v>0</v>
      </c>
      <c r="G16" s="4">
        <v>1600000</v>
      </c>
      <c r="H16" s="4">
        <v>1480431.58</v>
      </c>
      <c r="I16" s="4">
        <v>0</v>
      </c>
      <c r="J16" s="4">
        <v>64690</v>
      </c>
      <c r="K16" s="4">
        <v>64690</v>
      </c>
      <c r="L16" s="4">
        <v>1545121.58</v>
      </c>
      <c r="M16" s="4">
        <v>54878.419999999925</v>
      </c>
      <c r="N16" s="4">
        <v>300000</v>
      </c>
      <c r="O16" s="4">
        <v>600000</v>
      </c>
      <c r="P16" s="4">
        <v>54878.419999999925</v>
      </c>
      <c r="Q16" s="4">
        <v>0</v>
      </c>
      <c r="R16" s="4">
        <v>0</v>
      </c>
      <c r="S16" s="4">
        <v>0</v>
      </c>
      <c r="T16" s="4">
        <v>0</v>
      </c>
      <c r="U16" s="4">
        <v>300000</v>
      </c>
      <c r="V16" s="4">
        <v>0</v>
      </c>
      <c r="W16" s="4">
        <v>300000</v>
      </c>
      <c r="X16" s="4">
        <v>0</v>
      </c>
      <c r="Y16" s="4">
        <v>0</v>
      </c>
      <c r="Z16" s="4">
        <v>0</v>
      </c>
      <c r="AA16" s="4">
        <v>0</v>
      </c>
      <c r="AB16" s="232" t="s">
        <v>437</v>
      </c>
      <c r="AC16" s="3" t="e">
        <f>#REF!</f>
        <v>#REF!</v>
      </c>
    </row>
    <row r="17" spans="1:29" ht="55.2">
      <c r="A17" s="3">
        <f t="shared" si="0"/>
        <v>13</v>
      </c>
      <c r="B17" s="3">
        <v>1560</v>
      </c>
      <c r="C17" s="232" t="s">
        <v>49</v>
      </c>
      <c r="D17" s="4">
        <v>9060000</v>
      </c>
      <c r="E17" s="4">
        <v>7510000</v>
      </c>
      <c r="F17" s="4">
        <v>1550000</v>
      </c>
      <c r="G17" s="4">
        <v>6810000</v>
      </c>
      <c r="H17" s="4">
        <v>6336410</v>
      </c>
      <c r="I17" s="4">
        <v>0</v>
      </c>
      <c r="J17" s="4">
        <v>358304</v>
      </c>
      <c r="K17" s="4">
        <v>358304</v>
      </c>
      <c r="L17" s="4">
        <v>6694714</v>
      </c>
      <c r="M17" s="4">
        <v>615286</v>
      </c>
      <c r="N17" s="4">
        <v>1750000</v>
      </c>
      <c r="O17" s="4">
        <v>0</v>
      </c>
      <c r="P17" s="4">
        <v>115286</v>
      </c>
      <c r="Q17" s="4">
        <v>500000</v>
      </c>
      <c r="R17" s="4">
        <v>0</v>
      </c>
      <c r="S17" s="4">
        <v>500000</v>
      </c>
      <c r="T17" s="4">
        <v>0</v>
      </c>
      <c r="U17" s="4">
        <v>1750000</v>
      </c>
      <c r="V17" s="4">
        <v>0</v>
      </c>
      <c r="W17" s="4">
        <v>1750000</v>
      </c>
      <c r="X17" s="4">
        <v>0</v>
      </c>
      <c r="Y17" s="4">
        <v>0</v>
      </c>
      <c r="Z17" s="4">
        <v>0</v>
      </c>
      <c r="AA17" s="4">
        <v>0</v>
      </c>
      <c r="AB17" s="232" t="s">
        <v>1429</v>
      </c>
      <c r="AC17" s="3" t="e">
        <f>#REF!</f>
        <v>#REF!</v>
      </c>
    </row>
    <row r="18" spans="1:29" ht="45" customHeight="1">
      <c r="A18" s="3">
        <f t="shared" si="0"/>
        <v>14</v>
      </c>
      <c r="B18" s="3">
        <v>1621</v>
      </c>
      <c r="C18" s="232" t="s">
        <v>50</v>
      </c>
      <c r="D18" s="4">
        <v>6030000</v>
      </c>
      <c r="E18" s="4">
        <v>6030000</v>
      </c>
      <c r="F18" s="4">
        <v>0</v>
      </c>
      <c r="G18" s="4">
        <v>2800000</v>
      </c>
      <c r="H18" s="4">
        <v>2174410</v>
      </c>
      <c r="I18" s="4">
        <v>0</v>
      </c>
      <c r="J18" s="4">
        <v>442301</v>
      </c>
      <c r="K18" s="4">
        <v>442301</v>
      </c>
      <c r="L18" s="4">
        <v>2616711</v>
      </c>
      <c r="M18" s="4">
        <v>1083289</v>
      </c>
      <c r="N18" s="4">
        <v>700000</v>
      </c>
      <c r="O18" s="4">
        <v>1630000</v>
      </c>
      <c r="P18" s="4">
        <v>183289</v>
      </c>
      <c r="Q18" s="4">
        <v>900000</v>
      </c>
      <c r="R18" s="4">
        <v>0</v>
      </c>
      <c r="S18" s="4">
        <v>900000</v>
      </c>
      <c r="T18" s="4">
        <v>0</v>
      </c>
      <c r="U18" s="4">
        <v>700000</v>
      </c>
      <c r="V18" s="4">
        <v>0</v>
      </c>
      <c r="W18" s="4">
        <v>700000</v>
      </c>
      <c r="X18" s="4">
        <v>0</v>
      </c>
      <c r="Y18" s="4">
        <v>0</v>
      </c>
      <c r="Z18" s="4">
        <v>0</v>
      </c>
      <c r="AA18" s="4">
        <v>0</v>
      </c>
      <c r="AB18" s="232" t="s">
        <v>704</v>
      </c>
      <c r="AC18" s="3" t="e">
        <f>#REF!</f>
        <v>#REF!</v>
      </c>
    </row>
    <row r="19" spans="1:29" ht="45" customHeight="1">
      <c r="A19" s="3">
        <f t="shared" si="0"/>
        <v>15</v>
      </c>
      <c r="B19" s="3">
        <v>1680</v>
      </c>
      <c r="C19" s="232" t="s">
        <v>71</v>
      </c>
      <c r="D19" s="4">
        <v>1700000</v>
      </c>
      <c r="E19" s="4">
        <v>1300000</v>
      </c>
      <c r="F19" s="4">
        <v>400000</v>
      </c>
      <c r="G19" s="4">
        <v>1300000</v>
      </c>
      <c r="H19" s="4">
        <v>838562.79</v>
      </c>
      <c r="I19" s="4">
        <v>0</v>
      </c>
      <c r="J19" s="4">
        <v>210237.77</v>
      </c>
      <c r="K19" s="4">
        <v>210237.77</v>
      </c>
      <c r="L19" s="4">
        <v>1048800.56</v>
      </c>
      <c r="M19" s="4">
        <v>251199.43999999994</v>
      </c>
      <c r="N19" s="4">
        <v>400000</v>
      </c>
      <c r="O19" s="4">
        <v>0</v>
      </c>
      <c r="P19" s="4">
        <v>251199.43999999994</v>
      </c>
      <c r="Q19" s="4">
        <v>0</v>
      </c>
      <c r="R19" s="4">
        <v>0</v>
      </c>
      <c r="S19" s="4">
        <v>0</v>
      </c>
      <c r="T19" s="4">
        <v>0</v>
      </c>
      <c r="U19" s="4">
        <v>400000</v>
      </c>
      <c r="V19" s="4">
        <v>0</v>
      </c>
      <c r="W19" s="4">
        <v>400000</v>
      </c>
      <c r="X19" s="4">
        <v>0</v>
      </c>
      <c r="Y19" s="4">
        <v>0</v>
      </c>
      <c r="Z19" s="4">
        <v>0</v>
      </c>
      <c r="AA19" s="4">
        <v>0</v>
      </c>
      <c r="AB19" s="232" t="s">
        <v>520</v>
      </c>
      <c r="AC19" s="3" t="e">
        <f>#REF!</f>
        <v>#REF!</v>
      </c>
    </row>
    <row r="20" spans="1:29" ht="45" customHeight="1">
      <c r="A20" s="3">
        <f t="shared" si="0"/>
        <v>16</v>
      </c>
      <c r="B20" s="3">
        <v>1848</v>
      </c>
      <c r="C20" s="232" t="s">
        <v>1520</v>
      </c>
      <c r="D20" s="4">
        <v>1900000</v>
      </c>
      <c r="E20" s="4">
        <v>1600000</v>
      </c>
      <c r="F20" s="4">
        <v>300000</v>
      </c>
      <c r="G20" s="4">
        <v>1450000</v>
      </c>
      <c r="H20" s="4">
        <v>1118840</v>
      </c>
      <c r="I20" s="4">
        <v>0</v>
      </c>
      <c r="J20" s="4">
        <v>290463</v>
      </c>
      <c r="K20" s="4">
        <v>290463</v>
      </c>
      <c r="L20" s="4">
        <v>1409303</v>
      </c>
      <c r="M20" s="4">
        <v>190697</v>
      </c>
      <c r="N20" s="4">
        <v>200000</v>
      </c>
      <c r="O20" s="4">
        <v>100000</v>
      </c>
      <c r="P20" s="4">
        <v>40697</v>
      </c>
      <c r="Q20" s="4">
        <v>150000</v>
      </c>
      <c r="R20" s="4">
        <v>0</v>
      </c>
      <c r="S20" s="4">
        <v>150000</v>
      </c>
      <c r="T20" s="4">
        <v>0</v>
      </c>
      <c r="U20" s="4">
        <v>200000</v>
      </c>
      <c r="V20" s="4">
        <v>0</v>
      </c>
      <c r="W20" s="4">
        <v>200000</v>
      </c>
      <c r="X20" s="4">
        <v>0</v>
      </c>
      <c r="Y20" s="4">
        <v>0</v>
      </c>
      <c r="Z20" s="4">
        <v>0</v>
      </c>
      <c r="AA20" s="4">
        <v>0</v>
      </c>
      <c r="AB20" s="232" t="s">
        <v>705</v>
      </c>
      <c r="AC20" s="3" t="e">
        <f>#REF!</f>
        <v>#REF!</v>
      </c>
    </row>
    <row r="21" spans="1:29" ht="45" customHeight="1">
      <c r="A21" s="3">
        <f t="shared" si="0"/>
        <v>17</v>
      </c>
      <c r="B21" s="3">
        <v>1850</v>
      </c>
      <c r="C21" s="232" t="s">
        <v>451</v>
      </c>
      <c r="D21" s="4">
        <v>14600000</v>
      </c>
      <c r="E21" s="4">
        <v>14600000</v>
      </c>
      <c r="F21" s="4">
        <v>0</v>
      </c>
      <c r="G21" s="4">
        <v>5900000</v>
      </c>
      <c r="H21" s="4">
        <v>5715472</v>
      </c>
      <c r="I21" s="4">
        <v>0</v>
      </c>
      <c r="J21" s="4">
        <v>180322</v>
      </c>
      <c r="K21" s="4">
        <v>180322</v>
      </c>
      <c r="L21" s="4">
        <v>5895794</v>
      </c>
      <c r="M21" s="4">
        <v>4206</v>
      </c>
      <c r="N21" s="4">
        <v>800000</v>
      </c>
      <c r="O21" s="4">
        <v>7900000</v>
      </c>
      <c r="P21" s="4">
        <v>4206</v>
      </c>
      <c r="Q21" s="4">
        <v>0</v>
      </c>
      <c r="R21" s="4">
        <v>0</v>
      </c>
      <c r="S21" s="4">
        <v>0</v>
      </c>
      <c r="T21" s="4">
        <v>0</v>
      </c>
      <c r="U21" s="4">
        <v>800000</v>
      </c>
      <c r="V21" s="4">
        <v>0</v>
      </c>
      <c r="W21" s="4">
        <v>800000</v>
      </c>
      <c r="X21" s="4">
        <v>0</v>
      </c>
      <c r="Y21" s="4">
        <v>0</v>
      </c>
      <c r="Z21" s="4">
        <v>0</v>
      </c>
      <c r="AA21" s="4">
        <v>0</v>
      </c>
      <c r="AB21" s="232" t="s">
        <v>1408</v>
      </c>
      <c r="AC21" s="3" t="e">
        <f>#REF!</f>
        <v>#REF!</v>
      </c>
    </row>
    <row r="22" spans="1:29" ht="45" customHeight="1">
      <c r="A22" s="3">
        <f t="shared" si="0"/>
        <v>18</v>
      </c>
      <c r="B22" s="3">
        <v>1883</v>
      </c>
      <c r="C22" s="232" t="s">
        <v>112</v>
      </c>
      <c r="D22" s="4">
        <v>27245000</v>
      </c>
      <c r="E22" s="4">
        <v>27245000</v>
      </c>
      <c r="F22" s="4">
        <v>0</v>
      </c>
      <c r="G22" s="4">
        <v>26215000</v>
      </c>
      <c r="H22" s="4">
        <v>26214141</v>
      </c>
      <c r="I22" s="4">
        <v>0</v>
      </c>
      <c r="J22" s="4">
        <v>0</v>
      </c>
      <c r="K22" s="4">
        <v>0</v>
      </c>
      <c r="L22" s="4">
        <v>26214141</v>
      </c>
      <c r="M22" s="4">
        <v>859</v>
      </c>
      <c r="N22" s="4">
        <v>0</v>
      </c>
      <c r="O22" s="4">
        <v>1030000</v>
      </c>
      <c r="P22" s="4">
        <v>859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232" t="s">
        <v>504</v>
      </c>
      <c r="AC22" s="3" t="e">
        <f>#REF!</f>
        <v>#REF!</v>
      </c>
    </row>
    <row r="23" spans="1:29" ht="45" customHeight="1">
      <c r="A23" s="3">
        <f t="shared" si="0"/>
        <v>19</v>
      </c>
      <c r="B23" s="3">
        <v>1887</v>
      </c>
      <c r="C23" s="232" t="s">
        <v>113</v>
      </c>
      <c r="D23" s="4">
        <v>5200000</v>
      </c>
      <c r="E23" s="4">
        <v>5200000</v>
      </c>
      <c r="F23" s="4">
        <v>0</v>
      </c>
      <c r="G23" s="4">
        <v>1760000</v>
      </c>
      <c r="H23" s="4">
        <v>1379255</v>
      </c>
      <c r="I23" s="4">
        <v>332775</v>
      </c>
      <c r="J23" s="4">
        <v>0</v>
      </c>
      <c r="K23" s="4">
        <v>332775</v>
      </c>
      <c r="L23" s="4">
        <v>1712030</v>
      </c>
      <c r="M23" s="4">
        <v>47970</v>
      </c>
      <c r="N23" s="4">
        <v>900000</v>
      </c>
      <c r="O23" s="4">
        <v>2540000</v>
      </c>
      <c r="P23" s="4">
        <v>47970</v>
      </c>
      <c r="Q23" s="4">
        <v>0</v>
      </c>
      <c r="R23" s="4">
        <v>0</v>
      </c>
      <c r="S23" s="4">
        <v>0</v>
      </c>
      <c r="T23" s="4">
        <v>0</v>
      </c>
      <c r="U23" s="4">
        <v>900000</v>
      </c>
      <c r="V23" s="4">
        <v>0</v>
      </c>
      <c r="W23" s="4">
        <v>900000</v>
      </c>
      <c r="X23" s="4">
        <v>0</v>
      </c>
      <c r="Y23" s="4">
        <v>0</v>
      </c>
      <c r="Z23" s="4">
        <v>0</v>
      </c>
      <c r="AA23" s="4">
        <v>0</v>
      </c>
      <c r="AB23" s="232" t="s">
        <v>938</v>
      </c>
      <c r="AC23" s="3" t="e">
        <f>#REF!</f>
        <v>#REF!</v>
      </c>
    </row>
    <row r="24" spans="1:29" ht="45" customHeight="1">
      <c r="A24" s="3">
        <f t="shared" si="0"/>
        <v>20</v>
      </c>
      <c r="B24" s="3">
        <v>1899</v>
      </c>
      <c r="C24" s="232" t="s">
        <v>125</v>
      </c>
      <c r="D24" s="4">
        <v>670000</v>
      </c>
      <c r="E24" s="4">
        <v>670000</v>
      </c>
      <c r="F24" s="4">
        <v>0</v>
      </c>
      <c r="G24" s="4">
        <v>670000</v>
      </c>
      <c r="H24" s="4">
        <v>451255</v>
      </c>
      <c r="I24" s="4">
        <v>0</v>
      </c>
      <c r="J24" s="4">
        <v>212497</v>
      </c>
      <c r="K24" s="4">
        <v>212497</v>
      </c>
      <c r="L24" s="4">
        <v>663752</v>
      </c>
      <c r="M24" s="4">
        <v>6248</v>
      </c>
      <c r="N24" s="4">
        <v>0</v>
      </c>
      <c r="O24" s="4">
        <v>0</v>
      </c>
      <c r="P24" s="4">
        <v>6248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232" t="s">
        <v>824</v>
      </c>
      <c r="AC24" s="3" t="e">
        <f>#REF!</f>
        <v>#REF!</v>
      </c>
    </row>
    <row r="25" spans="1:29" ht="45" customHeight="1">
      <c r="A25" s="3">
        <f t="shared" si="0"/>
        <v>21</v>
      </c>
      <c r="B25" s="3">
        <v>1900</v>
      </c>
      <c r="C25" s="232" t="s">
        <v>114</v>
      </c>
      <c r="D25" s="4">
        <v>600000</v>
      </c>
      <c r="E25" s="4">
        <v>600000</v>
      </c>
      <c r="F25" s="4">
        <v>0</v>
      </c>
      <c r="G25" s="4">
        <v>600000</v>
      </c>
      <c r="H25" s="4">
        <v>572915</v>
      </c>
      <c r="I25" s="4">
        <v>0</v>
      </c>
      <c r="J25" s="4">
        <v>0</v>
      </c>
      <c r="K25" s="4">
        <v>0</v>
      </c>
      <c r="L25" s="4">
        <v>572915</v>
      </c>
      <c r="M25" s="4">
        <v>27085</v>
      </c>
      <c r="N25" s="4">
        <v>0</v>
      </c>
      <c r="O25" s="4">
        <v>0</v>
      </c>
      <c r="P25" s="4">
        <v>27085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232" t="s">
        <v>825</v>
      </c>
      <c r="AC25" s="3" t="e">
        <f>#REF!</f>
        <v>#REF!</v>
      </c>
    </row>
    <row r="26" spans="1:29" ht="45" customHeight="1">
      <c r="A26" s="3">
        <f t="shared" si="0"/>
        <v>22</v>
      </c>
      <c r="B26" s="3">
        <v>1917</v>
      </c>
      <c r="C26" s="232" t="s">
        <v>115</v>
      </c>
      <c r="D26" s="4">
        <v>33701000</v>
      </c>
      <c r="E26" s="4">
        <v>76800000</v>
      </c>
      <c r="F26" s="4">
        <v>-43099000</v>
      </c>
      <c r="G26" s="4">
        <v>33701000</v>
      </c>
      <c r="H26" s="4">
        <v>28403693</v>
      </c>
      <c r="I26" s="4">
        <v>0</v>
      </c>
      <c r="J26" s="4">
        <v>5277774</v>
      </c>
      <c r="K26" s="4">
        <v>5277774</v>
      </c>
      <c r="L26" s="4">
        <v>33681467</v>
      </c>
      <c r="M26" s="4">
        <v>19533</v>
      </c>
      <c r="N26" s="4">
        <v>0</v>
      </c>
      <c r="O26" s="4">
        <v>0</v>
      </c>
      <c r="P26" s="4">
        <v>19533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232" t="s">
        <v>592</v>
      </c>
      <c r="AC26" s="3" t="e">
        <f>#REF!</f>
        <v>#REF!</v>
      </c>
    </row>
    <row r="27" spans="1:29" ht="55.2">
      <c r="A27" s="3">
        <f t="shared" si="0"/>
        <v>23</v>
      </c>
      <c r="B27" s="3">
        <v>1947</v>
      </c>
      <c r="C27" s="232" t="s">
        <v>1521</v>
      </c>
      <c r="D27" s="4">
        <v>2500000</v>
      </c>
      <c r="E27" s="4">
        <v>2500000</v>
      </c>
      <c r="F27" s="4">
        <v>0</v>
      </c>
      <c r="G27" s="4">
        <v>2500000</v>
      </c>
      <c r="H27" s="4">
        <v>239019</v>
      </c>
      <c r="I27" s="4">
        <v>844007</v>
      </c>
      <c r="J27" s="4">
        <v>682234</v>
      </c>
      <c r="K27" s="4">
        <v>1526241</v>
      </c>
      <c r="L27" s="4">
        <v>1765260</v>
      </c>
      <c r="M27" s="4">
        <v>734740</v>
      </c>
      <c r="N27" s="4">
        <v>0</v>
      </c>
      <c r="O27" s="4">
        <v>0</v>
      </c>
      <c r="P27" s="4">
        <v>734740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232" t="s">
        <v>1481</v>
      </c>
      <c r="AC27" s="3" t="e">
        <f>#REF!</f>
        <v>#REF!</v>
      </c>
    </row>
    <row r="28" spans="1:29" ht="45" customHeight="1">
      <c r="A28" s="3">
        <f t="shared" si="0"/>
        <v>24</v>
      </c>
      <c r="B28" s="3">
        <v>1966</v>
      </c>
      <c r="C28" s="232" t="s">
        <v>864</v>
      </c>
      <c r="D28" s="4">
        <v>1700000</v>
      </c>
      <c r="E28" s="4">
        <v>1700000</v>
      </c>
      <c r="F28" s="4">
        <v>0</v>
      </c>
      <c r="G28" s="4">
        <v>1700000</v>
      </c>
      <c r="H28" s="4">
        <v>1678903</v>
      </c>
      <c r="I28" s="4">
        <v>21096</v>
      </c>
      <c r="J28" s="4">
        <v>0</v>
      </c>
      <c r="K28" s="4">
        <v>21096</v>
      </c>
      <c r="L28" s="4">
        <v>1699999</v>
      </c>
      <c r="M28" s="4">
        <v>1</v>
      </c>
      <c r="N28" s="4">
        <v>0</v>
      </c>
      <c r="O28" s="4">
        <v>0</v>
      </c>
      <c r="P28" s="4">
        <v>1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232" t="s">
        <v>654</v>
      </c>
      <c r="AC28" s="3" t="e">
        <f>#REF!</f>
        <v>#REF!</v>
      </c>
    </row>
    <row r="29" spans="1:29" ht="45" customHeight="1">
      <c r="A29" s="3">
        <f t="shared" si="0"/>
        <v>25</v>
      </c>
      <c r="B29" s="3">
        <v>1967</v>
      </c>
      <c r="C29" s="232" t="s">
        <v>123</v>
      </c>
      <c r="D29" s="4">
        <v>12929000</v>
      </c>
      <c r="E29" s="4">
        <v>12929000</v>
      </c>
      <c r="F29" s="4">
        <v>0</v>
      </c>
      <c r="G29" s="4">
        <v>12529000</v>
      </c>
      <c r="H29" s="4">
        <v>4842895</v>
      </c>
      <c r="I29" s="4">
        <v>0</v>
      </c>
      <c r="J29" s="4">
        <v>6624095</v>
      </c>
      <c r="K29" s="4">
        <v>6624095</v>
      </c>
      <c r="L29" s="4">
        <v>11466990</v>
      </c>
      <c r="M29" s="4">
        <v>562010</v>
      </c>
      <c r="N29" s="4">
        <v>0</v>
      </c>
      <c r="O29" s="4">
        <v>900000</v>
      </c>
      <c r="P29" s="4">
        <v>1062010</v>
      </c>
      <c r="Q29" s="4">
        <v>0</v>
      </c>
      <c r="R29" s="4">
        <v>0</v>
      </c>
      <c r="S29" s="4">
        <v>0</v>
      </c>
      <c r="T29" s="4">
        <v>500000</v>
      </c>
      <c r="U29" s="4">
        <v>-500000</v>
      </c>
      <c r="V29" s="4">
        <v>-500000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232" t="s">
        <v>655</v>
      </c>
      <c r="AC29" s="3" t="e">
        <f>#REF!</f>
        <v>#REF!</v>
      </c>
    </row>
    <row r="30" spans="1:29" ht="45" customHeight="1">
      <c r="A30" s="3">
        <f t="shared" si="0"/>
        <v>26</v>
      </c>
      <c r="B30" s="3">
        <v>1968</v>
      </c>
      <c r="C30" s="232" t="s">
        <v>1187</v>
      </c>
      <c r="D30" s="4">
        <v>2170000</v>
      </c>
      <c r="E30" s="4">
        <v>2170000</v>
      </c>
      <c r="F30" s="4">
        <v>0</v>
      </c>
      <c r="G30" s="4">
        <v>2170000</v>
      </c>
      <c r="H30" s="4">
        <v>1812735</v>
      </c>
      <c r="I30" s="4">
        <v>0</v>
      </c>
      <c r="J30" s="4">
        <v>7192</v>
      </c>
      <c r="K30" s="4">
        <v>7192</v>
      </c>
      <c r="L30" s="4">
        <v>1819927</v>
      </c>
      <c r="M30" s="4">
        <v>350073</v>
      </c>
      <c r="N30" s="4">
        <v>0</v>
      </c>
      <c r="O30" s="4">
        <v>0</v>
      </c>
      <c r="P30" s="4">
        <v>350073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232" t="s">
        <v>706</v>
      </c>
      <c r="AC30" s="3" t="e">
        <f>#REF!</f>
        <v>#REF!</v>
      </c>
    </row>
    <row r="31" spans="1:29" ht="45" customHeight="1">
      <c r="A31" s="3">
        <f t="shared" si="0"/>
        <v>27</v>
      </c>
      <c r="B31" s="3">
        <v>1970</v>
      </c>
      <c r="C31" s="232" t="s">
        <v>130</v>
      </c>
      <c r="D31" s="4">
        <v>32500000</v>
      </c>
      <c r="E31" s="4">
        <v>32500000</v>
      </c>
      <c r="F31" s="4">
        <v>0</v>
      </c>
      <c r="G31" s="4">
        <v>32500000</v>
      </c>
      <c r="H31" s="4">
        <v>32372422</v>
      </c>
      <c r="I31" s="4">
        <v>35837</v>
      </c>
      <c r="J31" s="4">
        <v>62753</v>
      </c>
      <c r="K31" s="4">
        <v>98590</v>
      </c>
      <c r="L31" s="4">
        <v>32471012</v>
      </c>
      <c r="M31" s="4">
        <v>28988</v>
      </c>
      <c r="N31" s="4">
        <v>0</v>
      </c>
      <c r="O31" s="4">
        <v>0</v>
      </c>
      <c r="P31" s="4">
        <v>28988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232" t="s">
        <v>1312</v>
      </c>
      <c r="AC31" s="3" t="e">
        <f>#REF!</f>
        <v>#REF!</v>
      </c>
    </row>
    <row r="32" spans="1:29" ht="45" customHeight="1">
      <c r="A32" s="3">
        <f t="shared" si="0"/>
        <v>28</v>
      </c>
      <c r="B32" s="3">
        <v>1973</v>
      </c>
      <c r="C32" s="232" t="s">
        <v>126</v>
      </c>
      <c r="D32" s="4">
        <v>2500000</v>
      </c>
      <c r="E32" s="4">
        <v>2500000</v>
      </c>
      <c r="F32" s="4">
        <v>0</v>
      </c>
      <c r="G32" s="4">
        <v>1950000</v>
      </c>
      <c r="H32" s="4">
        <v>1264790</v>
      </c>
      <c r="I32" s="4">
        <v>0</v>
      </c>
      <c r="J32" s="4">
        <v>460497</v>
      </c>
      <c r="K32" s="4">
        <v>460497</v>
      </c>
      <c r="L32" s="4">
        <v>1725287</v>
      </c>
      <c r="M32" s="4">
        <v>224713</v>
      </c>
      <c r="N32" s="4">
        <v>300000</v>
      </c>
      <c r="O32" s="4">
        <v>250000</v>
      </c>
      <c r="P32" s="4">
        <v>224713</v>
      </c>
      <c r="Q32" s="4">
        <v>0</v>
      </c>
      <c r="R32" s="4">
        <v>0</v>
      </c>
      <c r="S32" s="4">
        <v>0</v>
      </c>
      <c r="T32" s="4">
        <v>0</v>
      </c>
      <c r="U32" s="4">
        <v>300000</v>
      </c>
      <c r="V32" s="4">
        <v>0</v>
      </c>
      <c r="W32" s="4">
        <v>300000</v>
      </c>
      <c r="X32" s="4">
        <v>0</v>
      </c>
      <c r="Y32" s="4">
        <v>0</v>
      </c>
      <c r="Z32" s="4">
        <v>0</v>
      </c>
      <c r="AA32" s="4">
        <v>0</v>
      </c>
      <c r="AB32" s="232" t="s">
        <v>940</v>
      </c>
      <c r="AC32" s="3" t="e">
        <f>#REF!</f>
        <v>#REF!</v>
      </c>
    </row>
    <row r="33" spans="1:29" ht="45" customHeight="1">
      <c r="A33" s="3">
        <f t="shared" si="0"/>
        <v>29</v>
      </c>
      <c r="B33" s="3">
        <v>2028</v>
      </c>
      <c r="C33" s="232" t="s">
        <v>288</v>
      </c>
      <c r="D33" s="4">
        <v>2435000</v>
      </c>
      <c r="E33" s="4">
        <v>2435000</v>
      </c>
      <c r="F33" s="4">
        <v>0</v>
      </c>
      <c r="G33" s="4">
        <v>2435000</v>
      </c>
      <c r="H33" s="4">
        <v>2414757</v>
      </c>
      <c r="I33" s="4">
        <v>19766</v>
      </c>
      <c r="J33" s="4">
        <v>0</v>
      </c>
      <c r="K33" s="4">
        <v>19766</v>
      </c>
      <c r="L33" s="4">
        <v>2434523</v>
      </c>
      <c r="M33" s="4">
        <v>477</v>
      </c>
      <c r="N33" s="4">
        <v>0</v>
      </c>
      <c r="O33" s="4">
        <v>0</v>
      </c>
      <c r="P33" s="4">
        <v>477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232" t="s">
        <v>427</v>
      </c>
      <c r="AC33" s="3" t="e">
        <f>#REF!</f>
        <v>#REF!</v>
      </c>
    </row>
    <row r="34" spans="1:29" ht="45" customHeight="1">
      <c r="A34" s="3">
        <f t="shared" si="0"/>
        <v>30</v>
      </c>
      <c r="B34" s="3">
        <v>2030</v>
      </c>
      <c r="C34" s="232" t="s">
        <v>245</v>
      </c>
      <c r="D34" s="4">
        <v>31500000</v>
      </c>
      <c r="E34" s="4">
        <v>31500000</v>
      </c>
      <c r="F34" s="4">
        <v>0</v>
      </c>
      <c r="G34" s="4">
        <v>16421977</v>
      </c>
      <c r="H34" s="4">
        <v>7905443</v>
      </c>
      <c r="I34" s="4">
        <v>5118190</v>
      </c>
      <c r="J34" s="4">
        <v>116547</v>
      </c>
      <c r="K34" s="4">
        <v>5234737</v>
      </c>
      <c r="L34" s="4">
        <v>13140180</v>
      </c>
      <c r="M34" s="4">
        <v>3281797</v>
      </c>
      <c r="N34" s="4">
        <v>4700000</v>
      </c>
      <c r="O34" s="4">
        <v>10378023</v>
      </c>
      <c r="P34" s="4">
        <v>3281797</v>
      </c>
      <c r="Q34" s="4">
        <v>0</v>
      </c>
      <c r="R34" s="4">
        <v>0</v>
      </c>
      <c r="S34" s="4">
        <v>0</v>
      </c>
      <c r="T34" s="4">
        <v>0</v>
      </c>
      <c r="U34" s="4">
        <v>4700000</v>
      </c>
      <c r="V34" s="4">
        <v>0</v>
      </c>
      <c r="W34" s="4">
        <v>909061</v>
      </c>
      <c r="X34" s="4">
        <v>0</v>
      </c>
      <c r="Y34" s="4">
        <v>0</v>
      </c>
      <c r="Z34" s="4">
        <v>0</v>
      </c>
      <c r="AA34" s="4">
        <v>3790939</v>
      </c>
      <c r="AB34" s="232" t="s">
        <v>1482</v>
      </c>
      <c r="AC34" s="3" t="e">
        <f>#REF!</f>
        <v>#REF!</v>
      </c>
    </row>
    <row r="35" spans="1:29" ht="55.2">
      <c r="A35" s="3">
        <f t="shared" si="0"/>
        <v>31</v>
      </c>
      <c r="B35" s="3">
        <v>2037</v>
      </c>
      <c r="C35" s="232" t="s">
        <v>1522</v>
      </c>
      <c r="D35" s="4">
        <v>5000000</v>
      </c>
      <c r="E35" s="4">
        <v>5000000</v>
      </c>
      <c r="F35" s="4">
        <v>0</v>
      </c>
      <c r="G35" s="4">
        <v>1500000</v>
      </c>
      <c r="H35" s="4">
        <v>741383.86</v>
      </c>
      <c r="I35" s="4">
        <v>0</v>
      </c>
      <c r="J35" s="4">
        <v>372633.03</v>
      </c>
      <c r="K35" s="4">
        <v>372633.03</v>
      </c>
      <c r="L35" s="4">
        <v>1114016.8900000001</v>
      </c>
      <c r="M35" s="4">
        <v>685983.10999999987</v>
      </c>
      <c r="N35" s="4">
        <v>500000</v>
      </c>
      <c r="O35" s="4">
        <v>2700000</v>
      </c>
      <c r="P35" s="4">
        <v>385983.10999999987</v>
      </c>
      <c r="Q35" s="4">
        <v>300000</v>
      </c>
      <c r="R35" s="4">
        <v>0</v>
      </c>
      <c r="S35" s="4">
        <v>300000</v>
      </c>
      <c r="T35" s="4">
        <v>0</v>
      </c>
      <c r="U35" s="4">
        <v>500000</v>
      </c>
      <c r="V35" s="4">
        <v>0</v>
      </c>
      <c r="W35" s="4">
        <v>500000</v>
      </c>
      <c r="X35" s="4">
        <v>0</v>
      </c>
      <c r="Y35" s="4">
        <v>0</v>
      </c>
      <c r="Z35" s="4">
        <v>0</v>
      </c>
      <c r="AA35" s="4">
        <v>0</v>
      </c>
      <c r="AB35" s="232" t="s">
        <v>1313</v>
      </c>
      <c r="AC35" s="3" t="e">
        <f>#REF!</f>
        <v>#REF!</v>
      </c>
    </row>
    <row r="36" spans="1:29" ht="69">
      <c r="A36" s="3">
        <f t="shared" si="0"/>
        <v>32</v>
      </c>
      <c r="B36" s="3">
        <v>2038</v>
      </c>
      <c r="C36" s="232" t="s">
        <v>1523</v>
      </c>
      <c r="D36" s="4">
        <v>6000000</v>
      </c>
      <c r="E36" s="4">
        <v>4950000</v>
      </c>
      <c r="F36" s="4">
        <v>1050000</v>
      </c>
      <c r="G36" s="4">
        <v>4450000</v>
      </c>
      <c r="H36" s="4">
        <v>3639925.66</v>
      </c>
      <c r="I36" s="4">
        <v>0</v>
      </c>
      <c r="J36" s="4">
        <v>775562.61</v>
      </c>
      <c r="K36" s="4">
        <v>775562.61</v>
      </c>
      <c r="L36" s="4">
        <v>4415488.2700000005</v>
      </c>
      <c r="M36" s="4">
        <v>34511.729999999516</v>
      </c>
      <c r="N36" s="4">
        <v>800000</v>
      </c>
      <c r="O36" s="4">
        <v>750000</v>
      </c>
      <c r="P36" s="4">
        <v>34511.729999999516</v>
      </c>
      <c r="Q36" s="4">
        <v>0</v>
      </c>
      <c r="R36" s="4">
        <v>0</v>
      </c>
      <c r="S36" s="4">
        <v>0</v>
      </c>
      <c r="T36" s="4">
        <v>0</v>
      </c>
      <c r="U36" s="4">
        <v>800000</v>
      </c>
      <c r="V36" s="4">
        <v>0</v>
      </c>
      <c r="W36" s="4">
        <v>800000</v>
      </c>
      <c r="X36" s="4">
        <v>0</v>
      </c>
      <c r="Y36" s="4">
        <v>0</v>
      </c>
      <c r="Z36" s="4">
        <v>0</v>
      </c>
      <c r="AA36" s="4">
        <v>0</v>
      </c>
      <c r="AB36" s="232" t="s">
        <v>465</v>
      </c>
      <c r="AC36" s="3" t="e">
        <f>#REF!</f>
        <v>#REF!</v>
      </c>
    </row>
    <row r="37" spans="1:29" ht="45" customHeight="1">
      <c r="A37" s="3">
        <f t="shared" si="0"/>
        <v>33</v>
      </c>
      <c r="B37" s="3">
        <v>2039</v>
      </c>
      <c r="C37" s="232" t="s">
        <v>137</v>
      </c>
      <c r="D37" s="4">
        <v>535000</v>
      </c>
      <c r="E37" s="4">
        <v>535000</v>
      </c>
      <c r="F37" s="4">
        <v>0</v>
      </c>
      <c r="G37" s="4">
        <v>385000</v>
      </c>
      <c r="H37" s="4">
        <v>34999</v>
      </c>
      <c r="I37" s="4">
        <v>0</v>
      </c>
      <c r="J37" s="4">
        <v>145720.4</v>
      </c>
      <c r="K37" s="4">
        <v>145720.4</v>
      </c>
      <c r="L37" s="4">
        <v>180719.4</v>
      </c>
      <c r="M37" s="4">
        <v>354280.6</v>
      </c>
      <c r="N37" s="4">
        <v>0</v>
      </c>
      <c r="O37" s="4">
        <v>0</v>
      </c>
      <c r="P37" s="4">
        <v>204280.6</v>
      </c>
      <c r="Q37" s="4">
        <v>150000</v>
      </c>
      <c r="R37" s="4">
        <v>0</v>
      </c>
      <c r="S37" s="4">
        <v>150000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232" t="s">
        <v>584</v>
      </c>
      <c r="AC37" s="3" t="e">
        <f>#REF!</f>
        <v>#REF!</v>
      </c>
    </row>
    <row r="38" spans="1:29" ht="45" customHeight="1">
      <c r="A38" s="3">
        <f t="shared" si="0"/>
        <v>34</v>
      </c>
      <c r="B38" s="3">
        <v>2040</v>
      </c>
      <c r="C38" s="232" t="s">
        <v>301</v>
      </c>
      <c r="D38" s="4">
        <v>2710000</v>
      </c>
      <c r="E38" s="4">
        <v>1210000</v>
      </c>
      <c r="F38" s="4">
        <v>1500000</v>
      </c>
      <c r="G38" s="4">
        <v>1210000</v>
      </c>
      <c r="H38" s="4">
        <v>832911</v>
      </c>
      <c r="I38" s="4">
        <v>0</v>
      </c>
      <c r="J38" s="4">
        <v>0</v>
      </c>
      <c r="K38" s="4">
        <v>0</v>
      </c>
      <c r="L38" s="4">
        <v>832911</v>
      </c>
      <c r="M38" s="4">
        <v>377089</v>
      </c>
      <c r="N38" s="4">
        <v>700000</v>
      </c>
      <c r="O38" s="4">
        <v>800000</v>
      </c>
      <c r="P38" s="4">
        <v>377089</v>
      </c>
      <c r="Q38" s="4">
        <v>0</v>
      </c>
      <c r="R38" s="4">
        <v>0</v>
      </c>
      <c r="S38" s="4">
        <v>0</v>
      </c>
      <c r="T38" s="4">
        <v>0</v>
      </c>
      <c r="U38" s="4">
        <v>700000</v>
      </c>
      <c r="V38" s="4">
        <v>0</v>
      </c>
      <c r="W38" s="4">
        <v>700000</v>
      </c>
      <c r="X38" s="4">
        <v>0</v>
      </c>
      <c r="Y38" s="4">
        <v>0</v>
      </c>
      <c r="Z38" s="4">
        <v>0</v>
      </c>
      <c r="AA38" s="4">
        <v>0</v>
      </c>
      <c r="AB38" s="232" t="s">
        <v>598</v>
      </c>
      <c r="AC38" s="3" t="e">
        <f>#REF!</f>
        <v>#REF!</v>
      </c>
    </row>
    <row r="39" spans="1:29" ht="45" customHeight="1">
      <c r="A39" s="3">
        <f t="shared" si="0"/>
        <v>35</v>
      </c>
      <c r="B39" s="3">
        <v>2043</v>
      </c>
      <c r="C39" s="232" t="s">
        <v>841</v>
      </c>
      <c r="D39" s="4">
        <v>15350000</v>
      </c>
      <c r="E39" s="4">
        <v>10350000</v>
      </c>
      <c r="F39" s="4">
        <v>5000000</v>
      </c>
      <c r="G39" s="4">
        <v>10350000</v>
      </c>
      <c r="H39" s="4">
        <v>9873872.5299999993</v>
      </c>
      <c r="I39" s="4">
        <v>56624</v>
      </c>
      <c r="J39" s="4">
        <v>370430</v>
      </c>
      <c r="K39" s="4">
        <v>427054</v>
      </c>
      <c r="L39" s="4">
        <v>10300926.529999999</v>
      </c>
      <c r="M39" s="4">
        <v>49073.470000000671</v>
      </c>
      <c r="N39" s="4">
        <v>4500000</v>
      </c>
      <c r="O39" s="4">
        <v>500000</v>
      </c>
      <c r="P39" s="4">
        <v>49073.470000000671</v>
      </c>
      <c r="Q39" s="4">
        <v>0</v>
      </c>
      <c r="R39" s="4">
        <v>0</v>
      </c>
      <c r="S39" s="4">
        <v>0</v>
      </c>
      <c r="T39" s="4">
        <v>0</v>
      </c>
      <c r="U39" s="4">
        <v>4500000</v>
      </c>
      <c r="V39" s="4">
        <v>0</v>
      </c>
      <c r="W39" s="4">
        <v>4500000</v>
      </c>
      <c r="X39" s="4">
        <v>0</v>
      </c>
      <c r="Y39" s="4">
        <v>0</v>
      </c>
      <c r="Z39" s="4">
        <v>0</v>
      </c>
      <c r="AA39" s="4">
        <v>0</v>
      </c>
      <c r="AB39" s="232" t="s">
        <v>865</v>
      </c>
      <c r="AC39" s="3" t="e">
        <f>#REF!</f>
        <v>#REF!</v>
      </c>
    </row>
    <row r="40" spans="1:29" ht="45" customHeight="1">
      <c r="A40" s="3">
        <f t="shared" si="0"/>
        <v>36</v>
      </c>
      <c r="B40" s="3">
        <v>2044</v>
      </c>
      <c r="C40" s="232" t="s">
        <v>138</v>
      </c>
      <c r="D40" s="4">
        <v>105000</v>
      </c>
      <c r="E40" s="4">
        <v>105000</v>
      </c>
      <c r="F40" s="4">
        <v>0</v>
      </c>
      <c r="G40" s="4">
        <v>105000</v>
      </c>
      <c r="H40" s="4">
        <v>56160</v>
      </c>
      <c r="I40" s="4">
        <v>0</v>
      </c>
      <c r="J40" s="4">
        <v>0</v>
      </c>
      <c r="K40" s="4">
        <v>0</v>
      </c>
      <c r="L40" s="4">
        <v>56160</v>
      </c>
      <c r="M40" s="4">
        <v>48840</v>
      </c>
      <c r="N40" s="4">
        <v>0</v>
      </c>
      <c r="O40" s="4">
        <v>0</v>
      </c>
      <c r="P40" s="4">
        <v>48840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232" t="s">
        <v>629</v>
      </c>
      <c r="AC40" s="3" t="e">
        <f>#REF!</f>
        <v>#REF!</v>
      </c>
    </row>
    <row r="41" spans="1:29" ht="45" customHeight="1">
      <c r="A41" s="3">
        <f t="shared" si="0"/>
        <v>37</v>
      </c>
      <c r="B41" s="3">
        <v>2047</v>
      </c>
      <c r="C41" s="232" t="s">
        <v>303</v>
      </c>
      <c r="D41" s="4">
        <v>170000</v>
      </c>
      <c r="E41" s="4">
        <v>170000</v>
      </c>
      <c r="F41" s="4">
        <v>0</v>
      </c>
      <c r="G41" s="4">
        <v>170000</v>
      </c>
      <c r="H41" s="4">
        <v>170000</v>
      </c>
      <c r="I41" s="4">
        <v>0</v>
      </c>
      <c r="J41" s="4">
        <v>0</v>
      </c>
      <c r="K41" s="4">
        <v>0</v>
      </c>
      <c r="L41" s="4">
        <v>170000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232" t="s">
        <v>526</v>
      </c>
      <c r="AC41" s="3" t="e">
        <f>#REF!</f>
        <v>#REF!</v>
      </c>
    </row>
    <row r="42" spans="1:29" ht="45" customHeight="1">
      <c r="A42" s="3">
        <f t="shared" si="0"/>
        <v>38</v>
      </c>
      <c r="B42" s="3">
        <v>2063</v>
      </c>
      <c r="C42" s="232" t="s">
        <v>289</v>
      </c>
      <c r="D42" s="4">
        <v>2500000</v>
      </c>
      <c r="E42" s="4">
        <v>2300000</v>
      </c>
      <c r="F42" s="4">
        <v>200000</v>
      </c>
      <c r="G42" s="4">
        <v>2400000</v>
      </c>
      <c r="H42" s="4">
        <v>510740</v>
      </c>
      <c r="I42" s="4">
        <v>1708229</v>
      </c>
      <c r="J42" s="4">
        <v>67139</v>
      </c>
      <c r="K42" s="4">
        <v>1775368</v>
      </c>
      <c r="L42" s="4">
        <v>2286108</v>
      </c>
      <c r="M42" s="4">
        <v>13892</v>
      </c>
      <c r="N42" s="4">
        <v>100000</v>
      </c>
      <c r="O42" s="4">
        <v>100000</v>
      </c>
      <c r="P42" s="4">
        <v>113892</v>
      </c>
      <c r="Q42" s="4">
        <v>0</v>
      </c>
      <c r="R42" s="4">
        <v>-100000</v>
      </c>
      <c r="S42" s="4">
        <v>-100000</v>
      </c>
      <c r="T42" s="4">
        <v>0</v>
      </c>
      <c r="U42" s="4">
        <v>100000</v>
      </c>
      <c r="V42" s="4">
        <v>0</v>
      </c>
      <c r="W42" s="4">
        <v>100000</v>
      </c>
      <c r="X42" s="4">
        <v>0</v>
      </c>
      <c r="Y42" s="4">
        <v>0</v>
      </c>
      <c r="Z42" s="4">
        <v>0</v>
      </c>
      <c r="AA42" s="4">
        <v>0</v>
      </c>
      <c r="AB42" s="232" t="s">
        <v>593</v>
      </c>
      <c r="AC42" s="3" t="e">
        <f>#REF!</f>
        <v>#REF!</v>
      </c>
    </row>
    <row r="43" spans="1:29" ht="45" customHeight="1">
      <c r="A43" s="3">
        <f t="shared" si="0"/>
        <v>39</v>
      </c>
      <c r="B43" s="3">
        <v>2071</v>
      </c>
      <c r="C43" s="232" t="s">
        <v>295</v>
      </c>
      <c r="D43" s="4">
        <v>300000</v>
      </c>
      <c r="E43" s="4">
        <v>300000</v>
      </c>
      <c r="F43" s="4">
        <v>0</v>
      </c>
      <c r="G43" s="4">
        <v>300000</v>
      </c>
      <c r="H43" s="4">
        <v>278080</v>
      </c>
      <c r="I43" s="4">
        <v>0</v>
      </c>
      <c r="J43" s="4">
        <v>0</v>
      </c>
      <c r="K43" s="4">
        <v>0</v>
      </c>
      <c r="L43" s="4">
        <v>278080</v>
      </c>
      <c r="M43" s="4">
        <v>21920</v>
      </c>
      <c r="N43" s="4">
        <v>0</v>
      </c>
      <c r="O43" s="4">
        <v>0</v>
      </c>
      <c r="P43" s="4">
        <v>21920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232" t="s">
        <v>426</v>
      </c>
      <c r="AC43" s="3" t="e">
        <f>#REF!</f>
        <v>#REF!</v>
      </c>
    </row>
    <row r="44" spans="1:29" ht="69">
      <c r="A44" s="3">
        <f t="shared" si="0"/>
        <v>40</v>
      </c>
      <c r="B44" s="3">
        <v>2094</v>
      </c>
      <c r="C44" s="232" t="s">
        <v>291</v>
      </c>
      <c r="D44" s="4">
        <v>1000000</v>
      </c>
      <c r="E44" s="4">
        <v>1000000</v>
      </c>
      <c r="F44" s="4">
        <v>0</v>
      </c>
      <c r="G44" s="4">
        <v>300000</v>
      </c>
      <c r="H44" s="4">
        <v>277735</v>
      </c>
      <c r="I44" s="4">
        <v>0</v>
      </c>
      <c r="J44" s="4">
        <v>15210</v>
      </c>
      <c r="K44" s="4">
        <v>15210</v>
      </c>
      <c r="L44" s="4">
        <v>292945</v>
      </c>
      <c r="M44" s="4">
        <v>7055</v>
      </c>
      <c r="N44" s="4">
        <v>0</v>
      </c>
      <c r="O44" s="4">
        <v>700000</v>
      </c>
      <c r="P44" s="4">
        <v>7055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232" t="s">
        <v>839</v>
      </c>
      <c r="AC44" s="3" t="e">
        <f>#REF!</f>
        <v>#REF!</v>
      </c>
    </row>
    <row r="45" spans="1:29" ht="45" customHeight="1">
      <c r="A45" s="3">
        <f t="shared" si="0"/>
        <v>41</v>
      </c>
      <c r="B45" s="3">
        <v>2095</v>
      </c>
      <c r="C45" s="232" t="s">
        <v>290</v>
      </c>
      <c r="D45" s="4">
        <v>210000</v>
      </c>
      <c r="E45" s="4">
        <v>160000</v>
      </c>
      <c r="F45" s="4">
        <v>50000</v>
      </c>
      <c r="G45" s="4">
        <v>160000</v>
      </c>
      <c r="H45" s="4">
        <v>40365</v>
      </c>
      <c r="I45" s="4">
        <v>0</v>
      </c>
      <c r="J45" s="4">
        <v>0</v>
      </c>
      <c r="K45" s="4">
        <v>0</v>
      </c>
      <c r="L45" s="4">
        <v>40365</v>
      </c>
      <c r="M45" s="4">
        <v>119635</v>
      </c>
      <c r="N45" s="4">
        <v>50000</v>
      </c>
      <c r="O45" s="4">
        <v>0</v>
      </c>
      <c r="P45" s="4">
        <v>119635</v>
      </c>
      <c r="Q45" s="4">
        <v>0</v>
      </c>
      <c r="R45" s="4">
        <v>0</v>
      </c>
      <c r="S45" s="4">
        <v>0</v>
      </c>
      <c r="T45" s="4">
        <v>0</v>
      </c>
      <c r="U45" s="4">
        <v>50000</v>
      </c>
      <c r="V45" s="4">
        <v>0</v>
      </c>
      <c r="W45" s="4">
        <v>50000</v>
      </c>
      <c r="X45" s="4">
        <v>0</v>
      </c>
      <c r="Y45" s="4">
        <v>0</v>
      </c>
      <c r="Z45" s="4">
        <v>0</v>
      </c>
      <c r="AA45" s="4">
        <v>0</v>
      </c>
      <c r="AB45" s="232" t="s">
        <v>594</v>
      </c>
      <c r="AC45" s="3" t="e">
        <f>#REF!</f>
        <v>#REF!</v>
      </c>
    </row>
    <row r="46" spans="1:29" ht="45" customHeight="1">
      <c r="A46" s="3">
        <f t="shared" si="0"/>
        <v>42</v>
      </c>
      <c r="B46" s="3">
        <v>2125</v>
      </c>
      <c r="C46" s="232" t="s">
        <v>304</v>
      </c>
      <c r="D46" s="4">
        <v>146923</v>
      </c>
      <c r="E46" s="4">
        <v>146923</v>
      </c>
      <c r="F46" s="4">
        <v>0</v>
      </c>
      <c r="G46" s="4">
        <v>146923</v>
      </c>
      <c r="H46" s="4">
        <v>146923</v>
      </c>
      <c r="I46" s="4">
        <v>0</v>
      </c>
      <c r="J46" s="4">
        <v>0</v>
      </c>
      <c r="K46" s="4">
        <v>0</v>
      </c>
      <c r="L46" s="4">
        <v>146923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232" t="s">
        <v>631</v>
      </c>
      <c r="AC46" s="3" t="e">
        <f>#REF!</f>
        <v>#REF!</v>
      </c>
    </row>
    <row r="47" spans="1:29" ht="45" customHeight="1">
      <c r="A47" s="3">
        <f t="shared" si="0"/>
        <v>43</v>
      </c>
      <c r="B47" s="3">
        <v>2131</v>
      </c>
      <c r="C47" s="232" t="s">
        <v>467</v>
      </c>
      <c r="D47" s="4">
        <v>7500000</v>
      </c>
      <c r="E47" s="4">
        <v>7500000</v>
      </c>
      <c r="F47" s="4">
        <v>0</v>
      </c>
      <c r="G47" s="4">
        <v>4020000</v>
      </c>
      <c r="H47" s="4">
        <v>3815119</v>
      </c>
      <c r="I47" s="4">
        <v>189143</v>
      </c>
      <c r="J47" s="4">
        <v>9170</v>
      </c>
      <c r="K47" s="4">
        <v>198313</v>
      </c>
      <c r="L47" s="4">
        <v>4013432</v>
      </c>
      <c r="M47" s="4">
        <v>6568</v>
      </c>
      <c r="N47" s="4">
        <v>0</v>
      </c>
      <c r="O47" s="4">
        <v>3480000</v>
      </c>
      <c r="P47" s="4">
        <v>6568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232" t="s">
        <v>1483</v>
      </c>
      <c r="AC47" s="3" t="e">
        <f>#REF!</f>
        <v>#REF!</v>
      </c>
    </row>
    <row r="48" spans="1:29" ht="45" customHeight="1">
      <c r="A48" s="3">
        <f t="shared" si="0"/>
        <v>44</v>
      </c>
      <c r="B48" s="3">
        <v>2133</v>
      </c>
      <c r="C48" s="232" t="s">
        <v>407</v>
      </c>
      <c r="D48" s="4">
        <v>5150000</v>
      </c>
      <c r="E48" s="4">
        <v>5150000</v>
      </c>
      <c r="F48" s="4">
        <v>0</v>
      </c>
      <c r="G48" s="4">
        <v>3150000</v>
      </c>
      <c r="H48" s="4">
        <v>2457812</v>
      </c>
      <c r="I48" s="4">
        <v>0</v>
      </c>
      <c r="J48" s="4">
        <v>115638</v>
      </c>
      <c r="K48" s="4">
        <v>115638</v>
      </c>
      <c r="L48" s="4">
        <v>2573450</v>
      </c>
      <c r="M48" s="4">
        <v>11550</v>
      </c>
      <c r="N48" s="4">
        <v>365000</v>
      </c>
      <c r="O48" s="4">
        <v>2200000</v>
      </c>
      <c r="P48" s="4">
        <v>576550</v>
      </c>
      <c r="Q48" s="4">
        <v>0</v>
      </c>
      <c r="R48" s="4">
        <v>0</v>
      </c>
      <c r="S48" s="4">
        <v>0</v>
      </c>
      <c r="T48" s="4">
        <v>565000</v>
      </c>
      <c r="U48" s="4">
        <v>-200000</v>
      </c>
      <c r="V48" s="4">
        <v>0</v>
      </c>
      <c r="W48" s="4">
        <v>-200000</v>
      </c>
      <c r="X48" s="4">
        <v>0</v>
      </c>
      <c r="Y48" s="4">
        <v>0</v>
      </c>
      <c r="Z48" s="4">
        <v>0</v>
      </c>
      <c r="AA48" s="4">
        <v>0</v>
      </c>
      <c r="AB48" s="232" t="s">
        <v>1484</v>
      </c>
      <c r="AC48" s="3" t="e">
        <f>#REF!</f>
        <v>#REF!</v>
      </c>
    </row>
    <row r="49" spans="1:29" ht="45" customHeight="1">
      <c r="A49" s="3">
        <f t="shared" si="0"/>
        <v>45</v>
      </c>
      <c r="B49" s="3">
        <v>2136</v>
      </c>
      <c r="C49" s="232" t="s">
        <v>409</v>
      </c>
      <c r="D49" s="4">
        <v>55226</v>
      </c>
      <c r="E49" s="4">
        <v>55226</v>
      </c>
      <c r="F49" s="4">
        <v>0</v>
      </c>
      <c r="G49" s="4">
        <v>55226</v>
      </c>
      <c r="H49" s="4">
        <v>55226</v>
      </c>
      <c r="I49" s="4">
        <v>0</v>
      </c>
      <c r="J49" s="4">
        <v>0</v>
      </c>
      <c r="K49" s="4">
        <v>0</v>
      </c>
      <c r="L49" s="4">
        <v>55226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232" t="s">
        <v>632</v>
      </c>
      <c r="AC49" s="3" t="e">
        <f>#REF!</f>
        <v>#REF!</v>
      </c>
    </row>
    <row r="50" spans="1:29" ht="45" customHeight="1">
      <c r="A50" s="3">
        <f t="shared" si="0"/>
        <v>46</v>
      </c>
      <c r="B50" s="3">
        <v>2137</v>
      </c>
      <c r="C50" s="232" t="s">
        <v>410</v>
      </c>
      <c r="D50" s="4">
        <v>50000</v>
      </c>
      <c r="E50" s="4">
        <v>50000</v>
      </c>
      <c r="F50" s="4">
        <v>0</v>
      </c>
      <c r="G50" s="4">
        <v>50000</v>
      </c>
      <c r="H50" s="4">
        <v>49966</v>
      </c>
      <c r="I50" s="4">
        <v>0</v>
      </c>
      <c r="J50" s="4">
        <v>0</v>
      </c>
      <c r="K50" s="4">
        <v>0</v>
      </c>
      <c r="L50" s="4">
        <v>49966</v>
      </c>
      <c r="M50" s="4">
        <v>34</v>
      </c>
      <c r="N50" s="4">
        <v>0</v>
      </c>
      <c r="O50" s="4">
        <v>0</v>
      </c>
      <c r="P50" s="4">
        <v>34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232" t="s">
        <v>633</v>
      </c>
      <c r="AC50" s="3" t="e">
        <f>#REF!</f>
        <v>#REF!</v>
      </c>
    </row>
    <row r="51" spans="1:29" ht="45" customHeight="1">
      <c r="A51" s="3">
        <f t="shared" si="0"/>
        <v>47</v>
      </c>
      <c r="B51" s="3">
        <v>2138</v>
      </c>
      <c r="C51" s="232" t="s">
        <v>411</v>
      </c>
      <c r="D51" s="4">
        <v>80000</v>
      </c>
      <c r="E51" s="4">
        <v>80000</v>
      </c>
      <c r="F51" s="4">
        <v>0</v>
      </c>
      <c r="G51" s="4">
        <v>80000</v>
      </c>
      <c r="H51" s="4">
        <v>0</v>
      </c>
      <c r="I51" s="4">
        <v>0</v>
      </c>
      <c r="J51" s="4">
        <v>80000</v>
      </c>
      <c r="K51" s="4">
        <v>80000</v>
      </c>
      <c r="L51" s="4">
        <v>80000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232" t="s">
        <v>633</v>
      </c>
      <c r="AC51" s="3" t="e">
        <f>#REF!</f>
        <v>#REF!</v>
      </c>
    </row>
    <row r="52" spans="1:29" ht="45" customHeight="1">
      <c r="A52" s="3">
        <f t="shared" si="0"/>
        <v>48</v>
      </c>
      <c r="B52" s="3">
        <v>2140</v>
      </c>
      <c r="C52" s="232" t="s">
        <v>486</v>
      </c>
      <c r="D52" s="4">
        <v>360000</v>
      </c>
      <c r="E52" s="4">
        <v>360000</v>
      </c>
      <c r="F52" s="4">
        <v>0</v>
      </c>
      <c r="G52" s="4">
        <v>360000</v>
      </c>
      <c r="H52" s="4">
        <v>283122</v>
      </c>
      <c r="I52" s="4">
        <v>0</v>
      </c>
      <c r="J52" s="4">
        <v>0</v>
      </c>
      <c r="K52" s="4">
        <v>0</v>
      </c>
      <c r="L52" s="4">
        <v>283122</v>
      </c>
      <c r="M52" s="4">
        <v>76878</v>
      </c>
      <c r="N52" s="4">
        <v>0</v>
      </c>
      <c r="O52" s="4">
        <v>0</v>
      </c>
      <c r="P52" s="4">
        <v>76878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232" t="s">
        <v>507</v>
      </c>
      <c r="AC52" s="3" t="e">
        <f>#REF!</f>
        <v>#REF!</v>
      </c>
    </row>
    <row r="53" spans="1:29" ht="45" customHeight="1">
      <c r="A53" s="3">
        <f t="shared" si="0"/>
        <v>49</v>
      </c>
      <c r="B53" s="3">
        <v>2154</v>
      </c>
      <c r="C53" s="232" t="s">
        <v>487</v>
      </c>
      <c r="D53" s="4">
        <v>10500000</v>
      </c>
      <c r="E53" s="4">
        <v>10500000</v>
      </c>
      <c r="F53" s="4">
        <v>0</v>
      </c>
      <c r="G53" s="4">
        <v>750000</v>
      </c>
      <c r="H53" s="4">
        <v>133002</v>
      </c>
      <c r="I53" s="4">
        <v>0</v>
      </c>
      <c r="J53" s="4">
        <v>175239</v>
      </c>
      <c r="K53" s="4">
        <v>175239</v>
      </c>
      <c r="L53" s="4">
        <v>308241</v>
      </c>
      <c r="M53" s="4">
        <v>441759</v>
      </c>
      <c r="N53" s="4">
        <v>0</v>
      </c>
      <c r="O53" s="4">
        <v>9750000</v>
      </c>
      <c r="P53" s="4">
        <v>441759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232" t="s">
        <v>1314</v>
      </c>
      <c r="AC53" s="3" t="e">
        <f>#REF!</f>
        <v>#REF!</v>
      </c>
    </row>
    <row r="54" spans="1:29" ht="45" customHeight="1">
      <c r="A54" s="3">
        <f t="shared" si="0"/>
        <v>50</v>
      </c>
      <c r="B54" s="3">
        <v>2156</v>
      </c>
      <c r="C54" s="232" t="s">
        <v>431</v>
      </c>
      <c r="D54" s="4">
        <v>2700000</v>
      </c>
      <c r="E54" s="4">
        <v>1600000</v>
      </c>
      <c r="F54" s="4">
        <v>1100000</v>
      </c>
      <c r="G54" s="4">
        <v>700000</v>
      </c>
      <c r="H54" s="4">
        <v>301893</v>
      </c>
      <c r="I54" s="4">
        <v>0</v>
      </c>
      <c r="J54" s="4">
        <v>192689</v>
      </c>
      <c r="K54" s="4">
        <v>192689</v>
      </c>
      <c r="L54" s="4">
        <v>494582</v>
      </c>
      <c r="M54" s="4">
        <v>205418</v>
      </c>
      <c r="N54" s="4">
        <v>0</v>
      </c>
      <c r="O54" s="4">
        <v>2000000</v>
      </c>
      <c r="P54" s="4">
        <v>205418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232" t="s">
        <v>708</v>
      </c>
      <c r="AC54" s="3" t="e">
        <f>#REF!</f>
        <v>#REF!</v>
      </c>
    </row>
    <row r="55" spans="1:29" ht="45" customHeight="1">
      <c r="A55" s="3">
        <f t="shared" si="0"/>
        <v>51</v>
      </c>
      <c r="B55" s="3">
        <v>2157</v>
      </c>
      <c r="C55" s="232" t="s">
        <v>488</v>
      </c>
      <c r="D55" s="4">
        <v>5200000</v>
      </c>
      <c r="E55" s="4">
        <v>5200000</v>
      </c>
      <c r="F55" s="4">
        <v>0</v>
      </c>
      <c r="G55" s="4">
        <v>150000</v>
      </c>
      <c r="H55" s="4">
        <v>0</v>
      </c>
      <c r="I55" s="4">
        <v>0</v>
      </c>
      <c r="J55" s="4">
        <v>42554</v>
      </c>
      <c r="K55" s="4">
        <v>42554</v>
      </c>
      <c r="L55" s="4">
        <v>42554</v>
      </c>
      <c r="M55" s="4">
        <v>7446</v>
      </c>
      <c r="N55" s="4">
        <v>420000</v>
      </c>
      <c r="O55" s="4">
        <v>4730000</v>
      </c>
      <c r="P55" s="4">
        <v>107446</v>
      </c>
      <c r="Q55" s="4">
        <v>0</v>
      </c>
      <c r="R55" s="4">
        <v>-100000</v>
      </c>
      <c r="S55" s="4">
        <v>-100000</v>
      </c>
      <c r="T55" s="4">
        <v>0</v>
      </c>
      <c r="U55" s="4">
        <v>420000</v>
      </c>
      <c r="V55" s="4">
        <v>0</v>
      </c>
      <c r="W55" s="4">
        <v>420000</v>
      </c>
      <c r="X55" s="4">
        <v>0</v>
      </c>
      <c r="Y55" s="4">
        <v>0</v>
      </c>
      <c r="Z55" s="4">
        <v>0</v>
      </c>
      <c r="AA55" s="4">
        <v>0</v>
      </c>
      <c r="AB55" s="232" t="s">
        <v>466</v>
      </c>
      <c r="AC55" s="3" t="e">
        <f>#REF!</f>
        <v>#REF!</v>
      </c>
    </row>
    <row r="56" spans="1:29" ht="45" customHeight="1">
      <c r="A56" s="3">
        <f t="shared" si="0"/>
        <v>52</v>
      </c>
      <c r="B56" s="3">
        <v>2165</v>
      </c>
      <c r="C56" s="232" t="s">
        <v>709</v>
      </c>
      <c r="D56" s="4">
        <v>1600000</v>
      </c>
      <c r="E56" s="4">
        <v>1040000</v>
      </c>
      <c r="F56" s="4">
        <v>560000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1600000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232" t="s">
        <v>912</v>
      </c>
      <c r="AC56" s="3" t="e">
        <f>#REF!</f>
        <v>#REF!</v>
      </c>
    </row>
    <row r="57" spans="1:29" ht="45" customHeight="1">
      <c r="A57" s="3">
        <f t="shared" si="0"/>
        <v>53</v>
      </c>
      <c r="B57" s="3">
        <v>2166</v>
      </c>
      <c r="C57" s="232" t="s">
        <v>441</v>
      </c>
      <c r="D57" s="4">
        <v>500000</v>
      </c>
      <c r="E57" s="4">
        <v>500000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500000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500000</v>
      </c>
      <c r="V57" s="4">
        <v>0</v>
      </c>
      <c r="W57" s="4">
        <v>500000</v>
      </c>
      <c r="X57" s="4">
        <v>0</v>
      </c>
      <c r="Y57" s="4">
        <v>0</v>
      </c>
      <c r="Z57" s="4">
        <v>0</v>
      </c>
      <c r="AA57" s="4">
        <v>0</v>
      </c>
      <c r="AB57" s="232" t="s">
        <v>827</v>
      </c>
      <c r="AC57" s="3" t="e">
        <f>#REF!</f>
        <v>#REF!</v>
      </c>
    </row>
    <row r="58" spans="1:29" ht="45" customHeight="1">
      <c r="A58" s="3">
        <f t="shared" si="0"/>
        <v>54</v>
      </c>
      <c r="B58" s="3">
        <v>2167</v>
      </c>
      <c r="C58" s="232" t="s">
        <v>442</v>
      </c>
      <c r="D58" s="4">
        <v>1400000</v>
      </c>
      <c r="E58" s="4">
        <v>1400000</v>
      </c>
      <c r="F58" s="4">
        <v>0</v>
      </c>
      <c r="G58" s="4">
        <v>100000</v>
      </c>
      <c r="H58" s="4">
        <v>1170</v>
      </c>
      <c r="I58" s="4">
        <v>0</v>
      </c>
      <c r="J58" s="4">
        <v>91455</v>
      </c>
      <c r="K58" s="4">
        <v>91455</v>
      </c>
      <c r="L58" s="4">
        <v>92625</v>
      </c>
      <c r="M58" s="4">
        <v>7375</v>
      </c>
      <c r="N58" s="4">
        <v>0</v>
      </c>
      <c r="O58" s="4">
        <v>1300000</v>
      </c>
      <c r="P58" s="4">
        <v>7375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232" t="s">
        <v>1315</v>
      </c>
      <c r="AC58" s="3" t="e">
        <f>#REF!</f>
        <v>#REF!</v>
      </c>
    </row>
    <row r="59" spans="1:29" ht="45" customHeight="1">
      <c r="A59" s="3">
        <f t="shared" si="0"/>
        <v>55</v>
      </c>
      <c r="B59" s="3">
        <v>2177</v>
      </c>
      <c r="C59" s="232" t="s">
        <v>1140</v>
      </c>
      <c r="D59" s="4">
        <v>12500000</v>
      </c>
      <c r="E59" s="4">
        <v>12500000</v>
      </c>
      <c r="F59" s="4">
        <v>0</v>
      </c>
      <c r="G59" s="4">
        <v>12500000</v>
      </c>
      <c r="H59" s="4">
        <v>12000101</v>
      </c>
      <c r="I59" s="4">
        <v>254817</v>
      </c>
      <c r="J59" s="4">
        <v>236993</v>
      </c>
      <c r="K59" s="4">
        <v>491810</v>
      </c>
      <c r="L59" s="4">
        <v>12491911</v>
      </c>
      <c r="M59" s="4">
        <v>8089</v>
      </c>
      <c r="N59" s="4">
        <v>0</v>
      </c>
      <c r="O59" s="4">
        <v>0</v>
      </c>
      <c r="P59" s="4">
        <v>8089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232" t="s">
        <v>829</v>
      </c>
      <c r="AC59" s="3" t="e">
        <f>#REF!</f>
        <v>#REF!</v>
      </c>
    </row>
    <row r="60" spans="1:29" ht="45" customHeight="1">
      <c r="A60" s="3">
        <f t="shared" si="0"/>
        <v>56</v>
      </c>
      <c r="B60" s="3">
        <v>2178</v>
      </c>
      <c r="C60" s="232" t="s">
        <v>489</v>
      </c>
      <c r="D60" s="4">
        <v>15700000</v>
      </c>
      <c r="E60" s="4">
        <v>2100000</v>
      </c>
      <c r="F60" s="4">
        <v>13600000</v>
      </c>
      <c r="G60" s="4">
        <v>1700000</v>
      </c>
      <c r="H60" s="4">
        <v>1658344</v>
      </c>
      <c r="I60" s="4">
        <v>0</v>
      </c>
      <c r="J60" s="4">
        <v>761</v>
      </c>
      <c r="K60" s="4">
        <v>761</v>
      </c>
      <c r="L60" s="4">
        <v>1659105</v>
      </c>
      <c r="M60" s="4">
        <v>40895</v>
      </c>
      <c r="N60" s="4">
        <v>6000000</v>
      </c>
      <c r="O60" s="4">
        <v>8000000</v>
      </c>
      <c r="P60" s="4">
        <v>40895</v>
      </c>
      <c r="Q60" s="4">
        <v>0</v>
      </c>
      <c r="R60" s="4">
        <v>0</v>
      </c>
      <c r="S60" s="4">
        <v>0</v>
      </c>
      <c r="T60" s="4">
        <v>0</v>
      </c>
      <c r="U60" s="4">
        <v>6000000</v>
      </c>
      <c r="V60" s="4">
        <v>0</v>
      </c>
      <c r="W60" s="4">
        <v>6000000</v>
      </c>
      <c r="X60" s="4">
        <v>0</v>
      </c>
      <c r="Y60" s="4">
        <v>0</v>
      </c>
      <c r="Z60" s="4">
        <v>0</v>
      </c>
      <c r="AA60" s="4">
        <v>0</v>
      </c>
      <c r="AB60" s="232" t="s">
        <v>1432</v>
      </c>
      <c r="AC60" s="3" t="e">
        <f>#REF!</f>
        <v>#REF!</v>
      </c>
    </row>
    <row r="61" spans="1:29" ht="45" customHeight="1">
      <c r="A61" s="3">
        <f t="shared" si="0"/>
        <v>57</v>
      </c>
      <c r="B61" s="3">
        <v>2181</v>
      </c>
      <c r="C61" s="232" t="s">
        <v>491</v>
      </c>
      <c r="D61" s="4">
        <v>1259000</v>
      </c>
      <c r="E61" s="4">
        <v>1259000</v>
      </c>
      <c r="F61" s="4">
        <v>0</v>
      </c>
      <c r="G61" s="4">
        <v>1259000</v>
      </c>
      <c r="H61" s="4">
        <v>1235965</v>
      </c>
      <c r="I61" s="4">
        <v>0</v>
      </c>
      <c r="J61" s="4">
        <v>0</v>
      </c>
      <c r="K61" s="4">
        <v>0</v>
      </c>
      <c r="L61" s="4">
        <v>1235965</v>
      </c>
      <c r="M61" s="4">
        <v>23035</v>
      </c>
      <c r="N61" s="4">
        <v>0</v>
      </c>
      <c r="O61" s="4">
        <v>0</v>
      </c>
      <c r="P61" s="4">
        <v>23035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232" t="s">
        <v>523</v>
      </c>
      <c r="AC61" s="3" t="e">
        <f>#REF!</f>
        <v>#REF!</v>
      </c>
    </row>
    <row r="62" spans="1:29" ht="45" customHeight="1">
      <c r="A62" s="3">
        <f t="shared" si="0"/>
        <v>58</v>
      </c>
      <c r="B62" s="3">
        <v>2187</v>
      </c>
      <c r="C62" s="232" t="s">
        <v>505</v>
      </c>
      <c r="D62" s="4">
        <v>10600000</v>
      </c>
      <c r="E62" s="4">
        <v>10600000</v>
      </c>
      <c r="F62" s="4">
        <v>0</v>
      </c>
      <c r="G62" s="4">
        <v>10600000</v>
      </c>
      <c r="H62" s="4">
        <v>8755527</v>
      </c>
      <c r="I62" s="4">
        <v>344565</v>
      </c>
      <c r="J62" s="4">
        <v>590972</v>
      </c>
      <c r="K62" s="4">
        <v>935537</v>
      </c>
      <c r="L62" s="4">
        <v>9691064</v>
      </c>
      <c r="M62" s="4">
        <v>908936</v>
      </c>
      <c r="N62" s="4">
        <v>0</v>
      </c>
      <c r="O62" s="4">
        <v>0</v>
      </c>
      <c r="P62" s="4">
        <v>908936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232" t="s">
        <v>506</v>
      </c>
      <c r="AC62" s="3" t="e">
        <f>#REF!</f>
        <v>#REF!</v>
      </c>
    </row>
    <row r="63" spans="1:29" ht="45" customHeight="1">
      <c r="A63" s="3">
        <f t="shared" si="0"/>
        <v>59</v>
      </c>
      <c r="B63" s="3">
        <v>2211</v>
      </c>
      <c r="C63" s="232" t="s">
        <v>1524</v>
      </c>
      <c r="D63" s="4">
        <v>800000</v>
      </c>
      <c r="E63" s="4">
        <v>800000</v>
      </c>
      <c r="F63" s="4">
        <v>0</v>
      </c>
      <c r="G63" s="4">
        <v>800000</v>
      </c>
      <c r="H63" s="4">
        <v>715023</v>
      </c>
      <c r="I63" s="4">
        <v>44227</v>
      </c>
      <c r="J63" s="4">
        <v>0</v>
      </c>
      <c r="K63" s="4">
        <v>44227</v>
      </c>
      <c r="L63" s="4">
        <v>759250</v>
      </c>
      <c r="M63" s="4">
        <v>40750</v>
      </c>
      <c r="N63" s="4">
        <v>0</v>
      </c>
      <c r="O63" s="4">
        <v>0</v>
      </c>
      <c r="P63" s="4">
        <v>40750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232" t="s">
        <v>859</v>
      </c>
      <c r="AC63" s="3" t="e">
        <f>#REF!</f>
        <v>#REF!</v>
      </c>
    </row>
    <row r="64" spans="1:29" ht="45" customHeight="1">
      <c r="A64" s="3">
        <f t="shared" si="0"/>
        <v>60</v>
      </c>
      <c r="B64" s="3">
        <v>2214</v>
      </c>
      <c r="C64" s="232" t="s">
        <v>509</v>
      </c>
      <c r="D64" s="4">
        <v>200000</v>
      </c>
      <c r="E64" s="4">
        <v>200000</v>
      </c>
      <c r="F64" s="4">
        <v>0</v>
      </c>
      <c r="G64" s="4">
        <v>200000</v>
      </c>
      <c r="H64" s="4">
        <v>68461</v>
      </c>
      <c r="I64" s="4">
        <v>0</v>
      </c>
      <c r="J64" s="4">
        <v>87645</v>
      </c>
      <c r="K64" s="4">
        <v>87645</v>
      </c>
      <c r="L64" s="4">
        <v>156106</v>
      </c>
      <c r="M64" s="4">
        <v>43894</v>
      </c>
      <c r="N64" s="4">
        <v>0</v>
      </c>
      <c r="O64" s="4">
        <v>0</v>
      </c>
      <c r="P64" s="4">
        <v>43894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232" t="s">
        <v>1316</v>
      </c>
      <c r="AC64" s="3" t="e">
        <f>#REF!</f>
        <v>#REF!</v>
      </c>
    </row>
    <row r="65" spans="1:29" ht="45" customHeight="1">
      <c r="A65" s="3">
        <f t="shared" si="0"/>
        <v>61</v>
      </c>
      <c r="B65" s="3">
        <v>2215</v>
      </c>
      <c r="C65" s="232" t="s">
        <v>511</v>
      </c>
      <c r="D65" s="4">
        <v>420000</v>
      </c>
      <c r="E65" s="4">
        <v>420000</v>
      </c>
      <c r="F65" s="4">
        <v>0</v>
      </c>
      <c r="G65" s="4">
        <v>420000</v>
      </c>
      <c r="H65" s="4">
        <v>383635</v>
      </c>
      <c r="I65" s="4">
        <v>0</v>
      </c>
      <c r="J65" s="4">
        <v>0</v>
      </c>
      <c r="K65" s="4">
        <v>0</v>
      </c>
      <c r="L65" s="4">
        <v>383635</v>
      </c>
      <c r="M65" s="4">
        <v>36365</v>
      </c>
      <c r="N65" s="4">
        <v>0</v>
      </c>
      <c r="O65" s="4">
        <v>0</v>
      </c>
      <c r="P65" s="4">
        <v>36365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232" t="s">
        <v>512</v>
      </c>
      <c r="AC65" s="3" t="e">
        <f>#REF!</f>
        <v>#REF!</v>
      </c>
    </row>
    <row r="66" spans="1:29" ht="45" customHeight="1">
      <c r="A66" s="3">
        <f t="shared" si="0"/>
        <v>62</v>
      </c>
      <c r="B66" s="3">
        <v>2216</v>
      </c>
      <c r="C66" s="232" t="s">
        <v>515</v>
      </c>
      <c r="D66" s="4">
        <v>4400000</v>
      </c>
      <c r="E66" s="4">
        <v>4400000</v>
      </c>
      <c r="F66" s="4">
        <v>0</v>
      </c>
      <c r="G66" s="4">
        <v>4400000</v>
      </c>
      <c r="H66" s="4">
        <v>110395</v>
      </c>
      <c r="I66" s="4">
        <v>0</v>
      </c>
      <c r="J66" s="4">
        <v>3233317</v>
      </c>
      <c r="K66" s="4">
        <v>3233317</v>
      </c>
      <c r="L66" s="4">
        <v>3343712</v>
      </c>
      <c r="M66" s="4">
        <v>1056288</v>
      </c>
      <c r="N66" s="4">
        <v>0</v>
      </c>
      <c r="O66" s="4">
        <v>0</v>
      </c>
      <c r="P66" s="4">
        <v>1056288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232" t="s">
        <v>516</v>
      </c>
      <c r="AC66" s="3" t="e">
        <f>#REF!</f>
        <v>#REF!</v>
      </c>
    </row>
    <row r="67" spans="1:29" ht="45" customHeight="1">
      <c r="A67" s="3">
        <f t="shared" si="0"/>
        <v>63</v>
      </c>
      <c r="B67" s="3">
        <v>2221</v>
      </c>
      <c r="C67" s="232" t="s">
        <v>525</v>
      </c>
      <c r="D67" s="4">
        <v>91304</v>
      </c>
      <c r="E67" s="4">
        <v>91304</v>
      </c>
      <c r="F67" s="4">
        <v>0</v>
      </c>
      <c r="G67" s="4">
        <v>91304</v>
      </c>
      <c r="H67" s="4">
        <v>86522</v>
      </c>
      <c r="I67" s="4">
        <v>0</v>
      </c>
      <c r="J67" s="4">
        <v>4680</v>
      </c>
      <c r="K67" s="4">
        <v>4680</v>
      </c>
      <c r="L67" s="4">
        <v>91202</v>
      </c>
      <c r="M67" s="4">
        <v>102</v>
      </c>
      <c r="N67" s="4">
        <v>0</v>
      </c>
      <c r="O67" s="4">
        <v>0</v>
      </c>
      <c r="P67" s="4">
        <v>102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232" t="s">
        <v>526</v>
      </c>
      <c r="AC67" s="3" t="e">
        <f>#REF!</f>
        <v>#REF!</v>
      </c>
    </row>
    <row r="68" spans="1:29" ht="45" customHeight="1">
      <c r="A68" s="3">
        <f t="shared" si="0"/>
        <v>64</v>
      </c>
      <c r="B68" s="3">
        <v>2225</v>
      </c>
      <c r="C68" s="232" t="s">
        <v>511</v>
      </c>
      <c r="D68" s="4">
        <v>150000</v>
      </c>
      <c r="E68" s="4">
        <v>150000</v>
      </c>
      <c r="F68" s="4">
        <v>0</v>
      </c>
      <c r="G68" s="4">
        <v>150000</v>
      </c>
      <c r="H68" s="4">
        <v>68712</v>
      </c>
      <c r="I68" s="4">
        <v>0</v>
      </c>
      <c r="J68" s="4">
        <v>0</v>
      </c>
      <c r="K68" s="4">
        <v>0</v>
      </c>
      <c r="L68" s="4">
        <v>68712</v>
      </c>
      <c r="M68" s="4">
        <v>81288</v>
      </c>
      <c r="N68" s="4">
        <v>0</v>
      </c>
      <c r="O68" s="4">
        <v>0</v>
      </c>
      <c r="P68" s="4">
        <v>81288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232" t="s">
        <v>872</v>
      </c>
      <c r="AC68" s="3" t="e">
        <f>#REF!</f>
        <v>#REF!</v>
      </c>
    </row>
    <row r="69" spans="1:29" ht="45" customHeight="1">
      <c r="A69" s="3">
        <f t="shared" si="0"/>
        <v>65</v>
      </c>
      <c r="B69" s="3">
        <v>2226</v>
      </c>
      <c r="C69" s="232" t="s">
        <v>668</v>
      </c>
      <c r="D69" s="4">
        <v>91304</v>
      </c>
      <c r="E69" s="4">
        <v>91304</v>
      </c>
      <c r="F69" s="4">
        <v>0</v>
      </c>
      <c r="G69" s="4">
        <v>91304</v>
      </c>
      <c r="H69" s="4">
        <v>76577</v>
      </c>
      <c r="I69" s="4">
        <v>0</v>
      </c>
      <c r="J69" s="4">
        <v>0</v>
      </c>
      <c r="K69" s="4">
        <v>0</v>
      </c>
      <c r="L69" s="4">
        <v>76577</v>
      </c>
      <c r="M69" s="4">
        <v>14727</v>
      </c>
      <c r="N69" s="4">
        <v>0</v>
      </c>
      <c r="O69" s="4">
        <v>0</v>
      </c>
      <c r="P69" s="4">
        <v>14727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232" t="s">
        <v>526</v>
      </c>
      <c r="AC69" s="3" t="e">
        <f>#REF!</f>
        <v>#REF!</v>
      </c>
    </row>
    <row r="70" spans="1:29" ht="45" customHeight="1">
      <c r="A70" s="3">
        <f t="shared" ref="A70:A109" si="1">A69+1</f>
        <v>66</v>
      </c>
      <c r="B70" s="3">
        <v>2234</v>
      </c>
      <c r="C70" s="232" t="s">
        <v>678</v>
      </c>
      <c r="D70" s="4">
        <v>270000</v>
      </c>
      <c r="E70" s="4">
        <v>270000</v>
      </c>
      <c r="F70" s="4">
        <v>0</v>
      </c>
      <c r="G70" s="4">
        <v>270000</v>
      </c>
      <c r="H70" s="4">
        <v>194454</v>
      </c>
      <c r="I70" s="4">
        <v>0</v>
      </c>
      <c r="J70" s="4">
        <v>69781</v>
      </c>
      <c r="K70" s="4">
        <v>69781</v>
      </c>
      <c r="L70" s="4">
        <v>264235</v>
      </c>
      <c r="M70" s="4">
        <v>5765</v>
      </c>
      <c r="N70" s="4">
        <v>0</v>
      </c>
      <c r="O70" s="4">
        <v>0</v>
      </c>
      <c r="P70" s="4">
        <v>5765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232" t="s">
        <v>680</v>
      </c>
      <c r="AC70" s="3" t="e">
        <f>#REF!</f>
        <v>#REF!</v>
      </c>
    </row>
    <row r="71" spans="1:29" ht="45" customHeight="1">
      <c r="A71" s="3">
        <f t="shared" si="1"/>
        <v>67</v>
      </c>
      <c r="B71" s="3">
        <v>2235</v>
      </c>
      <c r="C71" s="232" t="s">
        <v>679</v>
      </c>
      <c r="D71" s="4">
        <v>1400000</v>
      </c>
      <c r="E71" s="4">
        <v>1400000</v>
      </c>
      <c r="F71" s="4">
        <v>0</v>
      </c>
      <c r="G71" s="4">
        <v>1400000</v>
      </c>
      <c r="H71" s="4">
        <v>192408</v>
      </c>
      <c r="I71" s="4">
        <v>0</v>
      </c>
      <c r="J71" s="4">
        <v>218850</v>
      </c>
      <c r="K71" s="4">
        <v>218850</v>
      </c>
      <c r="L71" s="4">
        <v>411258</v>
      </c>
      <c r="M71" s="4">
        <v>188742</v>
      </c>
      <c r="N71" s="4">
        <v>800000</v>
      </c>
      <c r="O71" s="4">
        <v>0</v>
      </c>
      <c r="P71" s="4">
        <v>988742</v>
      </c>
      <c r="Q71" s="4">
        <v>0</v>
      </c>
      <c r="R71" s="4">
        <v>0</v>
      </c>
      <c r="S71" s="4">
        <v>0</v>
      </c>
      <c r="T71" s="4">
        <v>800000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232" t="s">
        <v>681</v>
      </c>
      <c r="AC71" s="3" t="e">
        <f>#REF!</f>
        <v>#REF!</v>
      </c>
    </row>
    <row r="72" spans="1:29" ht="45" customHeight="1">
      <c r="A72" s="3">
        <f t="shared" si="1"/>
        <v>68</v>
      </c>
      <c r="B72" s="3">
        <v>2236</v>
      </c>
      <c r="C72" s="232" t="s">
        <v>678</v>
      </c>
      <c r="D72" s="4">
        <v>180000</v>
      </c>
      <c r="E72" s="4">
        <v>180000</v>
      </c>
      <c r="F72" s="4">
        <v>0</v>
      </c>
      <c r="G72" s="4">
        <v>180000</v>
      </c>
      <c r="H72" s="4">
        <v>116522</v>
      </c>
      <c r="I72" s="4">
        <v>0</v>
      </c>
      <c r="J72" s="4">
        <v>2319</v>
      </c>
      <c r="K72" s="4">
        <v>2319</v>
      </c>
      <c r="L72" s="4">
        <v>118841</v>
      </c>
      <c r="M72" s="4">
        <v>61159</v>
      </c>
      <c r="N72" s="4">
        <v>0</v>
      </c>
      <c r="O72" s="4">
        <v>0</v>
      </c>
      <c r="P72" s="4">
        <v>61159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232" t="s">
        <v>1317</v>
      </c>
      <c r="AC72" s="3" t="e">
        <f>#REF!</f>
        <v>#REF!</v>
      </c>
    </row>
    <row r="73" spans="1:29" ht="45" customHeight="1">
      <c r="A73" s="3">
        <f t="shared" si="1"/>
        <v>69</v>
      </c>
      <c r="B73" s="3">
        <v>2237</v>
      </c>
      <c r="C73" s="232" t="s">
        <v>711</v>
      </c>
      <c r="D73" s="4">
        <v>1700000</v>
      </c>
      <c r="E73" s="4">
        <v>1700000</v>
      </c>
      <c r="F73" s="4">
        <v>0</v>
      </c>
      <c r="G73" s="4">
        <v>1700000</v>
      </c>
      <c r="H73" s="4">
        <v>310846</v>
      </c>
      <c r="I73" s="4">
        <v>0</v>
      </c>
      <c r="J73" s="4">
        <v>766703</v>
      </c>
      <c r="K73" s="4">
        <v>766703</v>
      </c>
      <c r="L73" s="4">
        <v>1077549</v>
      </c>
      <c r="M73" s="4">
        <v>222451</v>
      </c>
      <c r="N73" s="4">
        <v>0</v>
      </c>
      <c r="O73" s="4">
        <v>400000</v>
      </c>
      <c r="P73" s="4">
        <v>622451</v>
      </c>
      <c r="Q73" s="4">
        <v>0</v>
      </c>
      <c r="R73" s="4">
        <v>0</v>
      </c>
      <c r="S73" s="4">
        <v>0</v>
      </c>
      <c r="T73" s="4">
        <v>400000</v>
      </c>
      <c r="U73" s="4">
        <v>-400000</v>
      </c>
      <c r="V73" s="4">
        <v>-400000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232" t="s">
        <v>1318</v>
      </c>
      <c r="AC73" s="3" t="e">
        <f>#REF!</f>
        <v>#REF!</v>
      </c>
    </row>
    <row r="74" spans="1:29" ht="45" customHeight="1">
      <c r="A74" s="3">
        <f t="shared" si="1"/>
        <v>70</v>
      </c>
      <c r="B74" s="3">
        <v>2238</v>
      </c>
      <c r="C74" s="232" t="s">
        <v>712</v>
      </c>
      <c r="D74" s="4">
        <v>5100000</v>
      </c>
      <c r="E74" s="4">
        <v>5100000</v>
      </c>
      <c r="F74" s="4">
        <v>0</v>
      </c>
      <c r="G74" s="4">
        <v>3100000</v>
      </c>
      <c r="H74" s="4">
        <v>1897747</v>
      </c>
      <c r="I74" s="4">
        <v>0</v>
      </c>
      <c r="J74" s="4">
        <v>569570</v>
      </c>
      <c r="K74" s="4">
        <v>569570</v>
      </c>
      <c r="L74" s="4">
        <v>2467317</v>
      </c>
      <c r="M74" s="4">
        <v>632683</v>
      </c>
      <c r="N74" s="4">
        <v>0</v>
      </c>
      <c r="O74" s="4">
        <v>2000000</v>
      </c>
      <c r="P74" s="4">
        <v>632683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232" t="s">
        <v>850</v>
      </c>
      <c r="AC74" s="3" t="e">
        <f>#REF!</f>
        <v>#REF!</v>
      </c>
    </row>
    <row r="75" spans="1:29" ht="45" customHeight="1">
      <c r="A75" s="3">
        <f t="shared" si="1"/>
        <v>71</v>
      </c>
      <c r="B75" s="3">
        <v>2239</v>
      </c>
      <c r="C75" s="232" t="s">
        <v>713</v>
      </c>
      <c r="D75" s="4">
        <v>30000000</v>
      </c>
      <c r="E75" s="4">
        <v>30000000</v>
      </c>
      <c r="F75" s="4">
        <v>0</v>
      </c>
      <c r="G75" s="4">
        <v>2750000</v>
      </c>
      <c r="H75" s="4">
        <v>1352378.42</v>
      </c>
      <c r="I75" s="4">
        <v>0</v>
      </c>
      <c r="J75" s="4">
        <v>463709.9</v>
      </c>
      <c r="K75" s="4">
        <v>463709.9</v>
      </c>
      <c r="L75" s="4">
        <v>1816088.3199999998</v>
      </c>
      <c r="M75" s="4">
        <v>933911.68000000017</v>
      </c>
      <c r="N75" s="4">
        <v>1500000</v>
      </c>
      <c r="O75" s="4">
        <v>25750000</v>
      </c>
      <c r="P75" s="4">
        <v>933911.68000000017</v>
      </c>
      <c r="Q75" s="4">
        <v>0</v>
      </c>
      <c r="R75" s="4">
        <v>0</v>
      </c>
      <c r="S75" s="4">
        <v>0</v>
      </c>
      <c r="T75" s="4">
        <v>0</v>
      </c>
      <c r="U75" s="4">
        <v>1500000</v>
      </c>
      <c r="V75" s="4">
        <v>0</v>
      </c>
      <c r="W75" s="4">
        <v>1500000</v>
      </c>
      <c r="X75" s="4">
        <v>0</v>
      </c>
      <c r="Y75" s="4">
        <v>0</v>
      </c>
      <c r="Z75" s="4">
        <v>0</v>
      </c>
      <c r="AA75" s="4">
        <v>0</v>
      </c>
      <c r="AB75" s="232" t="s">
        <v>830</v>
      </c>
      <c r="AC75" s="3" t="e">
        <f>#REF!</f>
        <v>#REF!</v>
      </c>
    </row>
    <row r="76" spans="1:29" ht="45" customHeight="1">
      <c r="A76" s="3">
        <f t="shared" si="1"/>
        <v>72</v>
      </c>
      <c r="B76" s="3">
        <v>2240</v>
      </c>
      <c r="C76" s="232" t="s">
        <v>714</v>
      </c>
      <c r="D76" s="4">
        <v>13200000</v>
      </c>
      <c r="E76" s="4">
        <v>13200000</v>
      </c>
      <c r="F76" s="4">
        <v>0</v>
      </c>
      <c r="G76" s="4">
        <v>2900000</v>
      </c>
      <c r="H76" s="4">
        <v>41510</v>
      </c>
      <c r="I76" s="4">
        <v>0</v>
      </c>
      <c r="J76" s="4">
        <v>1843658</v>
      </c>
      <c r="K76" s="4">
        <v>1843658</v>
      </c>
      <c r="L76" s="4">
        <v>1885168</v>
      </c>
      <c r="M76" s="4">
        <v>1014832</v>
      </c>
      <c r="N76" s="4">
        <v>1340000</v>
      </c>
      <c r="O76" s="4">
        <v>8960000</v>
      </c>
      <c r="P76" s="4">
        <v>1014832</v>
      </c>
      <c r="Q76" s="4">
        <v>0</v>
      </c>
      <c r="R76" s="4">
        <v>0</v>
      </c>
      <c r="S76" s="4">
        <v>0</v>
      </c>
      <c r="T76" s="4">
        <v>0</v>
      </c>
      <c r="U76" s="4">
        <v>1340000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1340000</v>
      </c>
      <c r="AB76" s="232" t="s">
        <v>866</v>
      </c>
      <c r="AC76" s="3" t="e">
        <f>#REF!</f>
        <v>#REF!</v>
      </c>
    </row>
    <row r="77" spans="1:29" ht="45" customHeight="1">
      <c r="A77" s="3">
        <f t="shared" si="1"/>
        <v>73</v>
      </c>
      <c r="B77" s="3">
        <v>2242</v>
      </c>
      <c r="C77" s="232" t="s">
        <v>886</v>
      </c>
      <c r="D77" s="4">
        <v>120000</v>
      </c>
      <c r="E77" s="4">
        <v>120000</v>
      </c>
      <c r="F77" s="4">
        <v>0</v>
      </c>
      <c r="G77" s="4">
        <v>120000</v>
      </c>
      <c r="H77" s="4">
        <v>6957</v>
      </c>
      <c r="I77" s="4">
        <v>0</v>
      </c>
      <c r="J77" s="4">
        <v>1</v>
      </c>
      <c r="K77" s="4">
        <v>1</v>
      </c>
      <c r="L77" s="4">
        <v>6958</v>
      </c>
      <c r="M77" s="4">
        <v>113042</v>
      </c>
      <c r="N77" s="4">
        <v>0</v>
      </c>
      <c r="O77" s="4">
        <v>0</v>
      </c>
      <c r="P77" s="4">
        <v>113042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232" t="s">
        <v>1319</v>
      </c>
      <c r="AC77" s="3" t="e">
        <f>#REF!</f>
        <v>#REF!</v>
      </c>
    </row>
    <row r="78" spans="1:29" ht="45" customHeight="1">
      <c r="A78" s="3">
        <f t="shared" si="1"/>
        <v>74</v>
      </c>
      <c r="B78" s="3">
        <v>20020</v>
      </c>
      <c r="C78" s="232" t="s">
        <v>716</v>
      </c>
      <c r="D78" s="4">
        <v>730000</v>
      </c>
      <c r="E78" s="4">
        <v>730000</v>
      </c>
      <c r="F78" s="4">
        <v>0</v>
      </c>
      <c r="G78" s="4">
        <v>730000</v>
      </c>
      <c r="H78" s="4">
        <v>403681</v>
      </c>
      <c r="I78" s="4">
        <v>0</v>
      </c>
      <c r="J78" s="4">
        <v>6568</v>
      </c>
      <c r="K78" s="4">
        <v>6568</v>
      </c>
      <c r="L78" s="4">
        <v>410249</v>
      </c>
      <c r="M78" s="4">
        <v>319751</v>
      </c>
      <c r="N78" s="4">
        <v>0</v>
      </c>
      <c r="O78" s="4">
        <v>0</v>
      </c>
      <c r="P78" s="4">
        <v>319751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232" t="s">
        <v>1320</v>
      </c>
      <c r="AC78" s="3" t="e">
        <f>#REF!</f>
        <v>#REF!</v>
      </c>
    </row>
    <row r="79" spans="1:29" ht="45" customHeight="1">
      <c r="A79" s="3">
        <f t="shared" si="1"/>
        <v>75</v>
      </c>
      <c r="B79" s="3">
        <v>20021</v>
      </c>
      <c r="C79" s="232" t="s">
        <v>718</v>
      </c>
      <c r="D79" s="4">
        <v>8000000</v>
      </c>
      <c r="E79" s="4">
        <v>8000000</v>
      </c>
      <c r="F79" s="4">
        <v>0</v>
      </c>
      <c r="G79" s="4">
        <v>1500000</v>
      </c>
      <c r="H79" s="4">
        <v>0</v>
      </c>
      <c r="I79" s="4">
        <v>0</v>
      </c>
      <c r="J79" s="4">
        <v>548683</v>
      </c>
      <c r="K79" s="4">
        <v>548683</v>
      </c>
      <c r="L79" s="4">
        <v>548683</v>
      </c>
      <c r="M79" s="4">
        <v>2451317</v>
      </c>
      <c r="N79" s="4">
        <v>4000000</v>
      </c>
      <c r="O79" s="4">
        <v>1000000</v>
      </c>
      <c r="P79" s="4">
        <v>951317</v>
      </c>
      <c r="Q79" s="4">
        <v>1500000</v>
      </c>
      <c r="R79" s="4">
        <v>0</v>
      </c>
      <c r="S79" s="4">
        <v>1500000</v>
      </c>
      <c r="T79" s="4">
        <v>0</v>
      </c>
      <c r="U79" s="4">
        <v>4000000</v>
      </c>
      <c r="V79" s="4">
        <v>0</v>
      </c>
      <c r="W79" s="4">
        <v>4000000</v>
      </c>
      <c r="X79" s="4">
        <v>0</v>
      </c>
      <c r="Y79" s="4">
        <v>0</v>
      </c>
      <c r="Z79" s="4">
        <v>0</v>
      </c>
      <c r="AA79" s="4">
        <v>0</v>
      </c>
      <c r="AB79" s="232" t="s">
        <v>719</v>
      </c>
      <c r="AC79" s="3" t="e">
        <f>#REF!</f>
        <v>#REF!</v>
      </c>
    </row>
    <row r="80" spans="1:29" ht="45" customHeight="1">
      <c r="A80" s="3">
        <f t="shared" si="1"/>
        <v>76</v>
      </c>
      <c r="B80" s="3">
        <v>20022</v>
      </c>
      <c r="C80" s="232" t="s">
        <v>720</v>
      </c>
      <c r="D80" s="4">
        <v>180000</v>
      </c>
      <c r="E80" s="4">
        <v>180000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180000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232" t="s">
        <v>831</v>
      </c>
      <c r="AC80" s="3" t="e">
        <f>#REF!</f>
        <v>#REF!</v>
      </c>
    </row>
    <row r="81" spans="1:29" ht="45" customHeight="1">
      <c r="A81" s="3">
        <f t="shared" si="1"/>
        <v>77</v>
      </c>
      <c r="B81" s="3">
        <v>20023</v>
      </c>
      <c r="C81" s="232" t="s">
        <v>721</v>
      </c>
      <c r="D81" s="4">
        <v>200000</v>
      </c>
      <c r="E81" s="4">
        <v>200000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200000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200000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200000</v>
      </c>
      <c r="AB81" s="232" t="s">
        <v>832</v>
      </c>
      <c r="AC81" s="3" t="e">
        <f>#REF!</f>
        <v>#REF!</v>
      </c>
    </row>
    <row r="82" spans="1:29" ht="45" customHeight="1">
      <c r="A82" s="3">
        <f t="shared" si="1"/>
        <v>78</v>
      </c>
      <c r="B82" s="3">
        <v>20025</v>
      </c>
      <c r="C82" s="232" t="s">
        <v>722</v>
      </c>
      <c r="D82" s="4">
        <v>50000</v>
      </c>
      <c r="E82" s="4">
        <v>50000</v>
      </c>
      <c r="F82" s="4">
        <v>0</v>
      </c>
      <c r="G82" s="4">
        <v>50000</v>
      </c>
      <c r="H82" s="4">
        <v>0</v>
      </c>
      <c r="I82" s="4">
        <v>0</v>
      </c>
      <c r="J82" s="4">
        <v>50000</v>
      </c>
      <c r="K82" s="4">
        <v>50000</v>
      </c>
      <c r="L82" s="4">
        <v>50000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232" t="s">
        <v>526</v>
      </c>
      <c r="AC82" s="3" t="e">
        <f>#REF!</f>
        <v>#REF!</v>
      </c>
    </row>
    <row r="83" spans="1:29" ht="45" customHeight="1">
      <c r="A83" s="3">
        <f t="shared" si="1"/>
        <v>79</v>
      </c>
      <c r="B83" s="3">
        <v>20026</v>
      </c>
      <c r="C83" s="232" t="s">
        <v>723</v>
      </c>
      <c r="D83" s="4">
        <v>50000</v>
      </c>
      <c r="E83" s="4">
        <v>50000</v>
      </c>
      <c r="F83" s="4">
        <v>0</v>
      </c>
      <c r="G83" s="4">
        <v>50000</v>
      </c>
      <c r="H83" s="4">
        <v>49953</v>
      </c>
      <c r="I83" s="4">
        <v>0</v>
      </c>
      <c r="J83" s="4">
        <v>0</v>
      </c>
      <c r="K83" s="4">
        <v>0</v>
      </c>
      <c r="L83" s="4">
        <v>49953</v>
      </c>
      <c r="M83" s="4">
        <v>47</v>
      </c>
      <c r="N83" s="4">
        <v>0</v>
      </c>
      <c r="O83" s="4">
        <v>0</v>
      </c>
      <c r="P83" s="4">
        <v>47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232" t="s">
        <v>526</v>
      </c>
      <c r="AC83" s="3" t="e">
        <f>#REF!</f>
        <v>#REF!</v>
      </c>
    </row>
    <row r="84" spans="1:29" ht="45" customHeight="1">
      <c r="A84" s="3">
        <f t="shared" si="1"/>
        <v>80</v>
      </c>
      <c r="B84" s="3">
        <v>20027</v>
      </c>
      <c r="C84" s="232" t="s">
        <v>724</v>
      </c>
      <c r="D84" s="4">
        <v>82800</v>
      </c>
      <c r="E84" s="4">
        <v>82800</v>
      </c>
      <c r="F84" s="4">
        <v>0</v>
      </c>
      <c r="G84" s="4">
        <v>82800</v>
      </c>
      <c r="H84" s="4">
        <v>0</v>
      </c>
      <c r="I84" s="4">
        <v>0</v>
      </c>
      <c r="J84" s="4">
        <v>62950</v>
      </c>
      <c r="K84" s="4">
        <v>62950</v>
      </c>
      <c r="L84" s="4">
        <v>62950</v>
      </c>
      <c r="M84" s="4">
        <v>19850</v>
      </c>
      <c r="N84" s="4">
        <v>0</v>
      </c>
      <c r="O84" s="4">
        <v>0</v>
      </c>
      <c r="P84" s="4">
        <v>19850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232" t="s">
        <v>526</v>
      </c>
      <c r="AC84" s="3" t="e">
        <f>#REF!</f>
        <v>#REF!</v>
      </c>
    </row>
    <row r="85" spans="1:29" ht="45" customHeight="1">
      <c r="A85" s="3">
        <f t="shared" si="1"/>
        <v>81</v>
      </c>
      <c r="B85" s="3">
        <v>20029</v>
      </c>
      <c r="C85" s="232" t="s">
        <v>725</v>
      </c>
      <c r="D85" s="4">
        <v>2000000</v>
      </c>
      <c r="E85" s="4">
        <v>2000000</v>
      </c>
      <c r="F85" s="4">
        <v>0</v>
      </c>
      <c r="G85" s="4">
        <v>1000000</v>
      </c>
      <c r="H85" s="4">
        <v>3634</v>
      </c>
      <c r="I85" s="4">
        <v>0</v>
      </c>
      <c r="J85" s="4">
        <v>622364</v>
      </c>
      <c r="K85" s="4">
        <v>622364</v>
      </c>
      <c r="L85" s="4">
        <v>625998</v>
      </c>
      <c r="M85" s="4">
        <v>374002</v>
      </c>
      <c r="N85" s="4">
        <v>500000</v>
      </c>
      <c r="O85" s="4">
        <v>500000</v>
      </c>
      <c r="P85" s="4">
        <v>374002</v>
      </c>
      <c r="Q85" s="4">
        <v>0</v>
      </c>
      <c r="R85" s="4">
        <v>0</v>
      </c>
      <c r="S85" s="4">
        <v>0</v>
      </c>
      <c r="T85" s="4">
        <v>0</v>
      </c>
      <c r="U85" s="4">
        <v>500000</v>
      </c>
      <c r="V85" s="4">
        <v>0</v>
      </c>
      <c r="W85" s="4">
        <v>500000</v>
      </c>
      <c r="X85" s="4">
        <v>0</v>
      </c>
      <c r="Y85" s="4">
        <v>0</v>
      </c>
      <c r="Z85" s="4">
        <v>0</v>
      </c>
      <c r="AA85" s="4">
        <v>0</v>
      </c>
      <c r="AB85" s="232" t="s">
        <v>1410</v>
      </c>
      <c r="AC85" s="3" t="e">
        <f>#REF!</f>
        <v>#REF!</v>
      </c>
    </row>
    <row r="86" spans="1:29" ht="45" customHeight="1">
      <c r="A86" s="3">
        <f t="shared" si="1"/>
        <v>82</v>
      </c>
      <c r="B86" s="3">
        <v>20030</v>
      </c>
      <c r="C86" s="232" t="s">
        <v>726</v>
      </c>
      <c r="D86" s="4">
        <v>24650000</v>
      </c>
      <c r="E86" s="4">
        <v>18150000</v>
      </c>
      <c r="F86" s="4">
        <v>6500000</v>
      </c>
      <c r="G86" s="4">
        <v>15200000</v>
      </c>
      <c r="H86" s="4">
        <v>4582658</v>
      </c>
      <c r="I86" s="4">
        <v>0</v>
      </c>
      <c r="J86" s="4">
        <v>10506476</v>
      </c>
      <c r="K86" s="4">
        <v>10506476</v>
      </c>
      <c r="L86" s="4">
        <v>15089134</v>
      </c>
      <c r="M86" s="4">
        <v>3060866</v>
      </c>
      <c r="N86" s="4">
        <v>6500000</v>
      </c>
      <c r="O86" s="4">
        <v>0</v>
      </c>
      <c r="P86" s="4">
        <v>110866</v>
      </c>
      <c r="Q86" s="4">
        <v>0</v>
      </c>
      <c r="R86" s="4">
        <v>2950000</v>
      </c>
      <c r="S86" s="4">
        <v>2950000</v>
      </c>
      <c r="T86" s="4">
        <v>0</v>
      </c>
      <c r="U86" s="4">
        <v>6500000</v>
      </c>
      <c r="V86" s="4">
        <v>0</v>
      </c>
      <c r="W86" s="4">
        <v>6500000</v>
      </c>
      <c r="X86" s="4">
        <v>0</v>
      </c>
      <c r="Y86" s="4">
        <v>0</v>
      </c>
      <c r="Z86" s="4">
        <v>0</v>
      </c>
      <c r="AA86" s="4">
        <v>0</v>
      </c>
      <c r="AB86" s="232" t="s">
        <v>1321</v>
      </c>
      <c r="AC86" s="3" t="e">
        <f>#REF!</f>
        <v>#REF!</v>
      </c>
    </row>
    <row r="87" spans="1:29" ht="55.2">
      <c r="A87" s="3">
        <f t="shared" si="1"/>
        <v>83</v>
      </c>
      <c r="B87" s="3">
        <v>20032</v>
      </c>
      <c r="C87" s="232" t="s">
        <v>730</v>
      </c>
      <c r="D87" s="4">
        <v>4850000</v>
      </c>
      <c r="E87" s="4">
        <v>4850000</v>
      </c>
      <c r="F87" s="4">
        <v>0</v>
      </c>
      <c r="G87" s="4">
        <v>60000</v>
      </c>
      <c r="H87" s="4">
        <v>0</v>
      </c>
      <c r="I87" s="4">
        <v>0</v>
      </c>
      <c r="J87" s="4">
        <v>50415</v>
      </c>
      <c r="K87" s="4">
        <v>50415</v>
      </c>
      <c r="L87" s="4">
        <v>50415</v>
      </c>
      <c r="M87" s="4">
        <v>9585</v>
      </c>
      <c r="N87" s="4">
        <v>3500000</v>
      </c>
      <c r="O87" s="4">
        <v>1290000</v>
      </c>
      <c r="P87" s="4">
        <v>9585</v>
      </c>
      <c r="Q87" s="4">
        <v>0</v>
      </c>
      <c r="R87" s="4">
        <v>0</v>
      </c>
      <c r="S87" s="4">
        <v>0</v>
      </c>
      <c r="T87" s="4">
        <v>0</v>
      </c>
      <c r="U87" s="4">
        <v>3500000</v>
      </c>
      <c r="V87" s="4">
        <v>0</v>
      </c>
      <c r="W87" s="4">
        <v>1700000</v>
      </c>
      <c r="X87" s="4">
        <v>0</v>
      </c>
      <c r="Y87" s="4">
        <v>0</v>
      </c>
      <c r="Z87" s="4">
        <v>0</v>
      </c>
      <c r="AA87" s="4">
        <v>1800000</v>
      </c>
      <c r="AB87" s="232" t="s">
        <v>941</v>
      </c>
      <c r="AC87" s="3" t="e">
        <f>#REF!</f>
        <v>#REF!</v>
      </c>
    </row>
    <row r="88" spans="1:29" ht="45" customHeight="1">
      <c r="A88" s="3">
        <f t="shared" si="1"/>
        <v>84</v>
      </c>
      <c r="B88" s="3">
        <v>20034</v>
      </c>
      <c r="C88" s="232" t="s">
        <v>731</v>
      </c>
      <c r="D88" s="4">
        <v>4000000</v>
      </c>
      <c r="E88" s="4">
        <v>2000000</v>
      </c>
      <c r="F88" s="4">
        <v>2000000</v>
      </c>
      <c r="G88" s="4">
        <v>900000</v>
      </c>
      <c r="H88" s="4">
        <v>0</v>
      </c>
      <c r="I88" s="4">
        <v>0</v>
      </c>
      <c r="J88" s="4">
        <v>500047</v>
      </c>
      <c r="K88" s="4">
        <v>500047</v>
      </c>
      <c r="L88" s="4">
        <v>500047</v>
      </c>
      <c r="M88" s="4">
        <v>499953</v>
      </c>
      <c r="N88" s="4">
        <v>2000000</v>
      </c>
      <c r="O88" s="4">
        <v>1000000</v>
      </c>
      <c r="P88" s="4">
        <v>399953</v>
      </c>
      <c r="Q88" s="4">
        <v>100000</v>
      </c>
      <c r="R88" s="4">
        <v>0</v>
      </c>
      <c r="S88" s="4">
        <v>100000</v>
      </c>
      <c r="T88" s="4">
        <v>0</v>
      </c>
      <c r="U88" s="4">
        <v>2000000</v>
      </c>
      <c r="V88" s="4">
        <v>0</v>
      </c>
      <c r="W88" s="4">
        <v>1000000</v>
      </c>
      <c r="X88" s="4">
        <v>0</v>
      </c>
      <c r="Y88" s="4">
        <v>0</v>
      </c>
      <c r="Z88" s="4">
        <v>0</v>
      </c>
      <c r="AA88" s="4">
        <v>1000000</v>
      </c>
      <c r="AB88" s="232" t="s">
        <v>943</v>
      </c>
      <c r="AC88" s="3" t="e">
        <f>#REF!</f>
        <v>#REF!</v>
      </c>
    </row>
    <row r="89" spans="1:29" ht="45" customHeight="1">
      <c r="A89" s="3">
        <f t="shared" si="1"/>
        <v>85</v>
      </c>
      <c r="B89" s="3">
        <v>20036</v>
      </c>
      <c r="C89" s="232" t="s">
        <v>732</v>
      </c>
      <c r="D89" s="4">
        <v>5200000</v>
      </c>
      <c r="E89" s="4">
        <v>7800000</v>
      </c>
      <c r="F89" s="4">
        <v>-2600000</v>
      </c>
      <c r="G89" s="4">
        <v>200000</v>
      </c>
      <c r="H89" s="4">
        <v>0</v>
      </c>
      <c r="I89" s="4">
        <v>0</v>
      </c>
      <c r="J89" s="4">
        <v>132595</v>
      </c>
      <c r="K89" s="4">
        <v>132595</v>
      </c>
      <c r="L89" s="4">
        <v>132595</v>
      </c>
      <c r="M89" s="4">
        <v>67405</v>
      </c>
      <c r="N89" s="4">
        <v>5000000</v>
      </c>
      <c r="O89" s="4">
        <v>0</v>
      </c>
      <c r="P89" s="4">
        <v>67405</v>
      </c>
      <c r="Q89" s="4">
        <v>0</v>
      </c>
      <c r="R89" s="4">
        <v>0</v>
      </c>
      <c r="S89" s="4">
        <v>0</v>
      </c>
      <c r="T89" s="4">
        <v>0</v>
      </c>
      <c r="U89" s="4">
        <v>5000000</v>
      </c>
      <c r="V89" s="4">
        <v>0</v>
      </c>
      <c r="W89" s="4">
        <v>5000000</v>
      </c>
      <c r="X89" s="4">
        <v>0</v>
      </c>
      <c r="Y89" s="4">
        <v>0</v>
      </c>
      <c r="Z89" s="4">
        <v>0</v>
      </c>
      <c r="AA89" s="4">
        <v>0</v>
      </c>
      <c r="AB89" s="232" t="s">
        <v>1322</v>
      </c>
      <c r="AC89" s="3" t="e">
        <f>#REF!</f>
        <v>#REF!</v>
      </c>
    </row>
    <row r="90" spans="1:29" ht="55.2">
      <c r="A90" s="3">
        <f t="shared" si="1"/>
        <v>86</v>
      </c>
      <c r="B90" s="3">
        <v>20037</v>
      </c>
      <c r="C90" s="232" t="s">
        <v>733</v>
      </c>
      <c r="D90" s="4">
        <v>2200000</v>
      </c>
      <c r="E90" s="4">
        <v>2200000</v>
      </c>
      <c r="F90" s="4">
        <v>0</v>
      </c>
      <c r="G90" s="4">
        <v>1500000</v>
      </c>
      <c r="H90" s="4">
        <v>55780</v>
      </c>
      <c r="I90" s="4">
        <v>0</v>
      </c>
      <c r="J90" s="4">
        <v>443580</v>
      </c>
      <c r="K90" s="4">
        <v>443580</v>
      </c>
      <c r="L90" s="4">
        <v>499360</v>
      </c>
      <c r="M90" s="4">
        <v>1700640</v>
      </c>
      <c r="N90" s="4">
        <v>0</v>
      </c>
      <c r="O90" s="4">
        <v>0</v>
      </c>
      <c r="P90" s="4">
        <v>1000640</v>
      </c>
      <c r="Q90" s="4">
        <v>0</v>
      </c>
      <c r="R90" s="4">
        <v>700000</v>
      </c>
      <c r="S90" s="4">
        <v>700000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232" t="s">
        <v>1323</v>
      </c>
      <c r="AC90" s="3" t="e">
        <f>#REF!</f>
        <v>#REF!</v>
      </c>
    </row>
    <row r="91" spans="1:29" ht="45" customHeight="1">
      <c r="A91" s="3">
        <f t="shared" si="1"/>
        <v>87</v>
      </c>
      <c r="B91" s="3">
        <v>20038</v>
      </c>
      <c r="C91" s="232" t="s">
        <v>734</v>
      </c>
      <c r="D91" s="4">
        <v>550000</v>
      </c>
      <c r="E91" s="4">
        <v>550000</v>
      </c>
      <c r="F91" s="4">
        <v>0</v>
      </c>
      <c r="G91" s="4">
        <v>550000</v>
      </c>
      <c r="H91" s="4">
        <v>0</v>
      </c>
      <c r="I91" s="4">
        <v>0</v>
      </c>
      <c r="J91" s="4">
        <v>525587</v>
      </c>
      <c r="K91" s="4">
        <v>525587</v>
      </c>
      <c r="L91" s="4">
        <v>525587</v>
      </c>
      <c r="M91" s="4">
        <v>24413</v>
      </c>
      <c r="N91" s="4">
        <v>0</v>
      </c>
      <c r="O91" s="4">
        <v>0</v>
      </c>
      <c r="P91" s="4">
        <v>24413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232" t="s">
        <v>735</v>
      </c>
      <c r="AC91" s="3" t="e">
        <f>#REF!</f>
        <v>#REF!</v>
      </c>
    </row>
    <row r="92" spans="1:29" ht="45" customHeight="1">
      <c r="A92" s="3">
        <f t="shared" si="1"/>
        <v>88</v>
      </c>
      <c r="B92" s="3">
        <v>20039</v>
      </c>
      <c r="C92" s="232" t="s">
        <v>810</v>
      </c>
      <c r="D92" s="4">
        <v>3200000</v>
      </c>
      <c r="E92" s="4">
        <v>3200000</v>
      </c>
      <c r="F92" s="4">
        <v>0</v>
      </c>
      <c r="G92" s="4">
        <v>3200000</v>
      </c>
      <c r="H92" s="4">
        <v>3179346</v>
      </c>
      <c r="I92" s="4">
        <v>0</v>
      </c>
      <c r="J92" s="4">
        <v>15890</v>
      </c>
      <c r="K92" s="4">
        <v>15890</v>
      </c>
      <c r="L92" s="4">
        <v>3195236</v>
      </c>
      <c r="M92" s="4">
        <v>4764</v>
      </c>
      <c r="N92" s="4">
        <v>0</v>
      </c>
      <c r="O92" s="4">
        <v>0</v>
      </c>
      <c r="P92" s="4">
        <v>4764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232" t="s">
        <v>868</v>
      </c>
      <c r="AC92" s="3" t="e">
        <f>#REF!</f>
        <v>#REF!</v>
      </c>
    </row>
    <row r="93" spans="1:29" ht="45" customHeight="1">
      <c r="A93" s="3">
        <f t="shared" si="1"/>
        <v>89</v>
      </c>
      <c r="B93" s="3">
        <v>20048</v>
      </c>
      <c r="C93" s="232" t="s">
        <v>883</v>
      </c>
      <c r="D93" s="4">
        <v>3730000</v>
      </c>
      <c r="E93" s="4">
        <v>3730000</v>
      </c>
      <c r="F93" s="4">
        <v>0</v>
      </c>
      <c r="G93" s="4">
        <v>3730000</v>
      </c>
      <c r="H93" s="4">
        <v>3378183</v>
      </c>
      <c r="I93" s="4">
        <v>0</v>
      </c>
      <c r="J93" s="4">
        <v>155540</v>
      </c>
      <c r="K93" s="4">
        <v>155540</v>
      </c>
      <c r="L93" s="4">
        <v>3533723</v>
      </c>
      <c r="M93" s="4">
        <v>196277</v>
      </c>
      <c r="N93" s="4">
        <v>0</v>
      </c>
      <c r="O93" s="4">
        <v>0</v>
      </c>
      <c r="P93" s="4">
        <v>196277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232" t="s">
        <v>1324</v>
      </c>
      <c r="AC93" s="3" t="e">
        <f>#REF!</f>
        <v>#REF!</v>
      </c>
    </row>
    <row r="94" spans="1:29" ht="45" customHeight="1">
      <c r="A94" s="3">
        <f t="shared" si="1"/>
        <v>90</v>
      </c>
      <c r="B94" s="3">
        <v>20050</v>
      </c>
      <c r="C94" s="232" t="s">
        <v>884</v>
      </c>
      <c r="D94" s="4">
        <v>2200000</v>
      </c>
      <c r="E94" s="4">
        <v>2200000</v>
      </c>
      <c r="F94" s="4">
        <v>0</v>
      </c>
      <c r="G94" s="4">
        <v>2200000</v>
      </c>
      <c r="H94" s="4">
        <v>0</v>
      </c>
      <c r="I94" s="4">
        <v>0</v>
      </c>
      <c r="J94" s="4">
        <v>2196578</v>
      </c>
      <c r="K94" s="4">
        <v>2196578</v>
      </c>
      <c r="L94" s="4">
        <v>2196578</v>
      </c>
      <c r="M94" s="4">
        <v>3422</v>
      </c>
      <c r="N94" s="4">
        <v>0</v>
      </c>
      <c r="O94" s="4">
        <v>0</v>
      </c>
      <c r="P94" s="4">
        <v>3422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232" t="s">
        <v>1325</v>
      </c>
      <c r="AC94" s="3" t="e">
        <f>#REF!</f>
        <v>#REF!</v>
      </c>
    </row>
    <row r="95" spans="1:29" ht="45" customHeight="1">
      <c r="A95" s="3">
        <f t="shared" si="1"/>
        <v>91</v>
      </c>
      <c r="B95" s="3">
        <v>20051</v>
      </c>
      <c r="C95" s="232" t="s">
        <v>887</v>
      </c>
      <c r="D95" s="4">
        <v>1500000</v>
      </c>
      <c r="E95" s="4">
        <v>2300000</v>
      </c>
      <c r="F95" s="4">
        <v>-800000</v>
      </c>
      <c r="G95" s="4">
        <v>1500000</v>
      </c>
      <c r="H95" s="4">
        <v>0</v>
      </c>
      <c r="I95" s="4">
        <v>0</v>
      </c>
      <c r="J95" s="4">
        <v>1499129.51</v>
      </c>
      <c r="K95" s="4">
        <v>1499129.51</v>
      </c>
      <c r="L95" s="4">
        <v>1499129.51</v>
      </c>
      <c r="M95" s="4">
        <v>870.48999999999069</v>
      </c>
      <c r="N95" s="4">
        <v>0</v>
      </c>
      <c r="O95" s="4">
        <v>0</v>
      </c>
      <c r="P95" s="4">
        <v>870.48999999999069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232" t="s">
        <v>1326</v>
      </c>
      <c r="AC95" s="3" t="e">
        <f>#REF!</f>
        <v>#REF!</v>
      </c>
    </row>
    <row r="96" spans="1:29" ht="45" customHeight="1">
      <c r="A96" s="3">
        <f t="shared" si="1"/>
        <v>92</v>
      </c>
      <c r="B96" s="3">
        <v>20052</v>
      </c>
      <c r="C96" s="232" t="s">
        <v>913</v>
      </c>
      <c r="D96" s="4">
        <v>2820553</v>
      </c>
      <c r="E96" s="4">
        <v>2820553</v>
      </c>
      <c r="F96" s="4">
        <v>0</v>
      </c>
      <c r="G96" s="4">
        <v>2270000</v>
      </c>
      <c r="H96" s="4">
        <v>117075</v>
      </c>
      <c r="I96" s="4">
        <v>0</v>
      </c>
      <c r="J96" s="4">
        <v>2152343</v>
      </c>
      <c r="K96" s="4">
        <v>2152343</v>
      </c>
      <c r="L96" s="4">
        <v>2269418</v>
      </c>
      <c r="M96" s="4">
        <v>551135</v>
      </c>
      <c r="N96" s="4">
        <v>0</v>
      </c>
      <c r="O96" s="4">
        <v>0</v>
      </c>
      <c r="P96" s="4">
        <v>582</v>
      </c>
      <c r="Q96" s="4">
        <v>0</v>
      </c>
      <c r="R96" s="4">
        <v>550553</v>
      </c>
      <c r="S96" s="4">
        <v>550553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232" t="s">
        <v>1327</v>
      </c>
      <c r="AC96" s="3" t="e">
        <f>#REF!</f>
        <v>#REF!</v>
      </c>
    </row>
    <row r="97" spans="1:29" ht="45" customHeight="1">
      <c r="A97" s="3">
        <f t="shared" si="1"/>
        <v>93</v>
      </c>
      <c r="B97" s="3">
        <v>20053</v>
      </c>
      <c r="C97" s="232" t="s">
        <v>885</v>
      </c>
      <c r="D97" s="4">
        <v>600000</v>
      </c>
      <c r="E97" s="4">
        <v>600000</v>
      </c>
      <c r="F97" s="4">
        <v>0</v>
      </c>
      <c r="G97" s="4">
        <v>600000</v>
      </c>
      <c r="H97" s="4">
        <v>0</v>
      </c>
      <c r="I97" s="4">
        <v>0</v>
      </c>
      <c r="J97" s="4">
        <v>145547</v>
      </c>
      <c r="K97" s="4">
        <v>145547</v>
      </c>
      <c r="L97" s="4">
        <v>145547</v>
      </c>
      <c r="M97" s="4">
        <v>454453</v>
      </c>
      <c r="N97" s="4">
        <v>0</v>
      </c>
      <c r="O97" s="4">
        <v>0</v>
      </c>
      <c r="P97" s="4">
        <v>454453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232" t="s">
        <v>1328</v>
      </c>
      <c r="AC97" s="3" t="e">
        <f>#REF!</f>
        <v>#REF!</v>
      </c>
    </row>
    <row r="98" spans="1:29" ht="45" customHeight="1">
      <c r="A98" s="3">
        <f t="shared" si="1"/>
        <v>94</v>
      </c>
      <c r="B98" s="3">
        <v>20054</v>
      </c>
      <c r="C98" s="232" t="s">
        <v>888</v>
      </c>
      <c r="D98" s="4">
        <v>1400000</v>
      </c>
      <c r="E98" s="4">
        <v>1400000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1400000</v>
      </c>
      <c r="N98" s="4">
        <v>0</v>
      </c>
      <c r="O98" s="4">
        <v>0</v>
      </c>
      <c r="P98" s="4">
        <v>0</v>
      </c>
      <c r="Q98" s="4">
        <v>0</v>
      </c>
      <c r="R98" s="4">
        <v>1400000</v>
      </c>
      <c r="S98" s="4">
        <v>1400000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232" t="s">
        <v>1329</v>
      </c>
      <c r="AC98" s="3" t="e">
        <f>#REF!</f>
        <v>#REF!</v>
      </c>
    </row>
    <row r="99" spans="1:29" ht="45" customHeight="1">
      <c r="A99" s="3">
        <f t="shared" si="1"/>
        <v>95</v>
      </c>
      <c r="B99" s="3">
        <v>20055</v>
      </c>
      <c r="C99" s="232" t="s">
        <v>914</v>
      </c>
      <c r="D99" s="4">
        <v>2000000</v>
      </c>
      <c r="E99" s="4">
        <v>2000000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2000000</v>
      </c>
      <c r="N99" s="4">
        <v>0</v>
      </c>
      <c r="O99" s="4">
        <v>0</v>
      </c>
      <c r="P99" s="4">
        <v>0</v>
      </c>
      <c r="Q99" s="4">
        <v>0</v>
      </c>
      <c r="R99" s="4">
        <v>2000000</v>
      </c>
      <c r="S99" s="4">
        <v>2000000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232" t="s">
        <v>1330</v>
      </c>
      <c r="AC99" s="3" t="e">
        <f>#REF!</f>
        <v>#REF!</v>
      </c>
    </row>
    <row r="100" spans="1:29" ht="45" customHeight="1">
      <c r="A100" s="3">
        <f t="shared" si="1"/>
        <v>96</v>
      </c>
      <c r="B100" s="3">
        <v>20065</v>
      </c>
      <c r="C100" s="232" t="s">
        <v>915</v>
      </c>
      <c r="D100" s="4">
        <v>3200000</v>
      </c>
      <c r="E100" s="4">
        <v>0</v>
      </c>
      <c r="F100" s="4">
        <v>3200000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2000000</v>
      </c>
      <c r="O100" s="4">
        <v>1200000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2000000</v>
      </c>
      <c r="V100" s="4">
        <v>0</v>
      </c>
      <c r="W100" s="4">
        <v>2000000</v>
      </c>
      <c r="X100" s="4">
        <v>0</v>
      </c>
      <c r="Y100" s="4">
        <v>0</v>
      </c>
      <c r="Z100" s="4">
        <v>0</v>
      </c>
      <c r="AA100" s="4">
        <v>0</v>
      </c>
      <c r="AB100" s="232" t="s">
        <v>1331</v>
      </c>
      <c r="AC100" s="3" t="e">
        <f>#REF!</f>
        <v>#REF!</v>
      </c>
    </row>
    <row r="101" spans="1:29" ht="45" customHeight="1">
      <c r="A101" s="3">
        <f t="shared" si="1"/>
        <v>97</v>
      </c>
      <c r="B101" s="3">
        <v>20066</v>
      </c>
      <c r="C101" s="232" t="s">
        <v>916</v>
      </c>
      <c r="D101" s="4">
        <v>3540000</v>
      </c>
      <c r="E101" s="4">
        <v>0</v>
      </c>
      <c r="F101" s="4">
        <v>3540000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450000</v>
      </c>
      <c r="O101" s="4">
        <v>3090000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450000</v>
      </c>
      <c r="V101" s="4">
        <v>0</v>
      </c>
      <c r="W101" s="4">
        <v>450000</v>
      </c>
      <c r="X101" s="4">
        <v>0</v>
      </c>
      <c r="Y101" s="4">
        <v>0</v>
      </c>
      <c r="Z101" s="4">
        <v>0</v>
      </c>
      <c r="AA101" s="4">
        <v>0</v>
      </c>
      <c r="AB101" s="232" t="s">
        <v>1332</v>
      </c>
      <c r="AC101" s="3" t="e">
        <f>#REF!</f>
        <v>#REF!</v>
      </c>
    </row>
    <row r="102" spans="1:29" ht="45" customHeight="1">
      <c r="A102" s="3">
        <f t="shared" si="1"/>
        <v>98</v>
      </c>
      <c r="B102" s="3">
        <v>20067</v>
      </c>
      <c r="C102" s="232" t="s">
        <v>917</v>
      </c>
      <c r="D102" s="4">
        <v>3500000</v>
      </c>
      <c r="E102" s="4">
        <v>0</v>
      </c>
      <c r="F102" s="4">
        <v>3500000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1500000</v>
      </c>
      <c r="O102" s="4">
        <v>2000000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1500000</v>
      </c>
      <c r="V102" s="4">
        <v>0</v>
      </c>
      <c r="W102" s="4">
        <v>1500000</v>
      </c>
      <c r="X102" s="4">
        <v>0</v>
      </c>
      <c r="Y102" s="4">
        <v>0</v>
      </c>
      <c r="Z102" s="4">
        <v>0</v>
      </c>
      <c r="AA102" s="4">
        <v>0</v>
      </c>
      <c r="AB102" s="232" t="s">
        <v>1333</v>
      </c>
      <c r="AC102" s="3" t="e">
        <f>#REF!</f>
        <v>#REF!</v>
      </c>
    </row>
    <row r="103" spans="1:29" ht="45" customHeight="1">
      <c r="A103" s="3">
        <f t="shared" si="1"/>
        <v>99</v>
      </c>
      <c r="B103" s="3">
        <v>20068</v>
      </c>
      <c r="C103" s="232" t="s">
        <v>918</v>
      </c>
      <c r="D103" s="4">
        <v>158000</v>
      </c>
      <c r="E103" s="4">
        <v>0</v>
      </c>
      <c r="F103" s="4">
        <v>158000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158000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158000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158000</v>
      </c>
      <c r="AB103" s="232" t="s">
        <v>526</v>
      </c>
      <c r="AC103" s="3" t="e">
        <f>#REF!</f>
        <v>#REF!</v>
      </c>
    </row>
    <row r="104" spans="1:29" ht="45" customHeight="1">
      <c r="A104" s="3">
        <f t="shared" si="1"/>
        <v>100</v>
      </c>
      <c r="B104" s="3">
        <v>20069</v>
      </c>
      <c r="C104" s="232" t="s">
        <v>919</v>
      </c>
      <c r="D104" s="4">
        <v>33000</v>
      </c>
      <c r="E104" s="4">
        <v>0</v>
      </c>
      <c r="F104" s="4">
        <v>33000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33000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33000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33000</v>
      </c>
      <c r="AB104" s="232" t="s">
        <v>526</v>
      </c>
      <c r="AC104" s="3" t="e">
        <f>#REF!</f>
        <v>#REF!</v>
      </c>
    </row>
    <row r="105" spans="1:29" ht="45" customHeight="1">
      <c r="A105" s="3">
        <f t="shared" si="1"/>
        <v>101</v>
      </c>
      <c r="B105" s="3">
        <v>20070</v>
      </c>
      <c r="C105" s="232" t="s">
        <v>920</v>
      </c>
      <c r="D105" s="4">
        <v>450000</v>
      </c>
      <c r="E105" s="4">
        <v>0</v>
      </c>
      <c r="F105" s="4">
        <v>450000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450000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450000</v>
      </c>
      <c r="V105" s="4">
        <v>0</v>
      </c>
      <c r="W105" s="4">
        <v>450000</v>
      </c>
      <c r="X105" s="4">
        <v>0</v>
      </c>
      <c r="Y105" s="4">
        <v>0</v>
      </c>
      <c r="Z105" s="4">
        <v>0</v>
      </c>
      <c r="AA105" s="4">
        <v>0</v>
      </c>
      <c r="AB105" s="232" t="s">
        <v>1334</v>
      </c>
      <c r="AC105" s="3" t="e">
        <f>#REF!</f>
        <v>#REF!</v>
      </c>
    </row>
    <row r="106" spans="1:29" ht="45" customHeight="1">
      <c r="A106" s="3">
        <f t="shared" si="1"/>
        <v>102</v>
      </c>
      <c r="B106" s="3">
        <v>20071</v>
      </c>
      <c r="C106" s="232" t="s">
        <v>1272</v>
      </c>
      <c r="D106" s="4">
        <v>450000</v>
      </c>
      <c r="E106" s="4">
        <v>0</v>
      </c>
      <c r="F106" s="4">
        <v>450000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450000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450000</v>
      </c>
      <c r="V106" s="4">
        <v>0</v>
      </c>
      <c r="W106" s="4">
        <v>450000</v>
      </c>
      <c r="X106" s="4">
        <v>0</v>
      </c>
      <c r="Y106" s="4">
        <v>0</v>
      </c>
      <c r="Z106" s="4">
        <v>0</v>
      </c>
      <c r="AA106" s="4">
        <v>0</v>
      </c>
      <c r="AB106" s="232" t="s">
        <v>1411</v>
      </c>
      <c r="AC106" s="3" t="e">
        <f>#REF!</f>
        <v>#REF!</v>
      </c>
    </row>
    <row r="107" spans="1:29" ht="45" customHeight="1">
      <c r="A107" s="3">
        <f t="shared" si="1"/>
        <v>103</v>
      </c>
      <c r="B107" s="3">
        <v>20072</v>
      </c>
      <c r="C107" s="232" t="s">
        <v>1188</v>
      </c>
      <c r="D107" s="4">
        <v>2000000</v>
      </c>
      <c r="E107" s="4">
        <v>0</v>
      </c>
      <c r="F107" s="4">
        <v>2000000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1000000</v>
      </c>
      <c r="O107" s="4">
        <v>1000000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1000000</v>
      </c>
      <c r="V107" s="4">
        <v>0</v>
      </c>
      <c r="W107" s="4">
        <v>1000000</v>
      </c>
      <c r="X107" s="4">
        <v>0</v>
      </c>
      <c r="Y107" s="4">
        <v>0</v>
      </c>
      <c r="Z107" s="4">
        <v>0</v>
      </c>
      <c r="AA107" s="4">
        <v>0</v>
      </c>
      <c r="AB107" s="232" t="s">
        <v>1335</v>
      </c>
      <c r="AC107" s="3" t="e">
        <f>#REF!</f>
        <v>#REF!</v>
      </c>
    </row>
    <row r="108" spans="1:29" ht="45" customHeight="1">
      <c r="A108" s="3">
        <f t="shared" si="1"/>
        <v>104</v>
      </c>
      <c r="B108" s="3">
        <v>20073</v>
      </c>
      <c r="C108" s="232" t="s">
        <v>1199</v>
      </c>
      <c r="D108" s="4">
        <v>300000</v>
      </c>
      <c r="E108" s="4">
        <v>0</v>
      </c>
      <c r="F108" s="4">
        <v>300000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300000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300000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300000</v>
      </c>
      <c r="AB108" s="232" t="s">
        <v>528</v>
      </c>
      <c r="AC108" s="3" t="e">
        <f>#REF!</f>
        <v>#REF!</v>
      </c>
    </row>
    <row r="109" spans="1:29" ht="45" customHeight="1">
      <c r="A109" s="3">
        <f t="shared" si="1"/>
        <v>105</v>
      </c>
      <c r="B109" s="3">
        <v>20074</v>
      </c>
      <c r="C109" s="232" t="s">
        <v>1273</v>
      </c>
      <c r="D109" s="4">
        <v>1500000</v>
      </c>
      <c r="E109" s="4">
        <v>0</v>
      </c>
      <c r="F109" s="4">
        <v>1500000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700000</v>
      </c>
      <c r="O109" s="4">
        <v>800000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700000</v>
      </c>
      <c r="V109" s="4">
        <v>0</v>
      </c>
      <c r="W109" s="4">
        <v>700000</v>
      </c>
      <c r="X109" s="4">
        <v>0</v>
      </c>
      <c r="Y109" s="4">
        <v>0</v>
      </c>
      <c r="Z109" s="4">
        <v>0</v>
      </c>
      <c r="AA109" s="4">
        <v>0</v>
      </c>
      <c r="AB109" s="232" t="s">
        <v>1336</v>
      </c>
      <c r="AC109" s="3" t="e">
        <f>#REF!</f>
        <v>#REF!</v>
      </c>
    </row>
    <row r="110" spans="1:29" ht="45" customHeight="1">
      <c r="A110" s="29">
        <f>A109</f>
        <v>105</v>
      </c>
      <c r="B110" s="29"/>
      <c r="C110" s="29" t="s">
        <v>809</v>
      </c>
      <c r="D110" s="60">
        <v>764460976</v>
      </c>
      <c r="E110" s="60">
        <v>742170430</v>
      </c>
      <c r="F110" s="60">
        <v>22290546</v>
      </c>
      <c r="G110" s="60">
        <v>545765720</v>
      </c>
      <c r="H110" s="60">
        <v>451317336.09000009</v>
      </c>
      <c r="I110" s="60">
        <v>8974344</v>
      </c>
      <c r="J110" s="60">
        <v>58078463.219999999</v>
      </c>
      <c r="K110" s="60">
        <v>67052807.219999991</v>
      </c>
      <c r="L110" s="60">
        <v>518370143.30999988</v>
      </c>
      <c r="M110" s="60">
        <v>42431129.690000005</v>
      </c>
      <c r="N110" s="60">
        <v>78816000</v>
      </c>
      <c r="O110" s="60">
        <v>124843703</v>
      </c>
      <c r="P110" s="60">
        <v>27395576.689999998</v>
      </c>
      <c r="Q110" s="60">
        <v>10450000</v>
      </c>
      <c r="R110" s="60">
        <v>7800553</v>
      </c>
      <c r="S110" s="60">
        <v>18250553</v>
      </c>
      <c r="T110" s="60">
        <v>3215000</v>
      </c>
      <c r="U110" s="60">
        <v>75601000</v>
      </c>
      <c r="V110" s="60">
        <v>-900000</v>
      </c>
      <c r="W110" s="60">
        <v>60879061</v>
      </c>
      <c r="X110" s="60">
        <v>0</v>
      </c>
      <c r="Y110" s="60">
        <v>0</v>
      </c>
      <c r="Z110" s="60">
        <v>0</v>
      </c>
      <c r="AA110" s="60">
        <v>15621939</v>
      </c>
      <c r="AB110" s="29"/>
      <c r="AC110" s="29"/>
    </row>
    <row r="111" spans="1:29" ht="13.95" customHeight="1">
      <c r="A111" s="479"/>
      <c r="B111" s="446"/>
      <c r="C111" s="446"/>
      <c r="D111" s="16"/>
      <c r="N111" s="417"/>
      <c r="O111" s="440"/>
      <c r="P111" s="184"/>
      <c r="Q111" s="440"/>
      <c r="R111" s="184"/>
      <c r="S111" s="184"/>
      <c r="T111" s="184"/>
      <c r="U111" s="184"/>
      <c r="V111" s="184"/>
    </row>
    <row r="112" spans="1:29">
      <c r="N112" s="184"/>
      <c r="O112" s="184"/>
      <c r="P112" s="184"/>
      <c r="Q112" s="184"/>
      <c r="R112" s="184"/>
      <c r="S112" s="184"/>
      <c r="T112" s="184"/>
      <c r="U112" s="184"/>
      <c r="V112" s="184"/>
    </row>
  </sheetData>
  <conditionalFormatting sqref="AB4">
    <cfRule type="cellIs" dxfId="13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7"/>
  <sheetViews>
    <sheetView showZeros="0" rightToLeft="1" tabSelected="1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34.88671875" style="191" customWidth="1"/>
    <col min="5" max="5" width="30.44140625" style="191" customWidth="1"/>
    <col min="6" max="6" width="10.88671875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3" spans="1:17" ht="21">
      <c r="A3" s="190"/>
      <c r="C3" s="192" t="s">
        <v>921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1.6" thickBot="1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16.2" thickBot="1">
      <c r="A5" s="190"/>
      <c r="B5" s="193" t="s">
        <v>136</v>
      </c>
      <c r="C5" s="190" t="s">
        <v>1437</v>
      </c>
      <c r="D5" s="190"/>
      <c r="E5" s="190"/>
      <c r="F5" s="194">
        <v>2717163</v>
      </c>
      <c r="I5" s="190"/>
      <c r="J5" s="190"/>
      <c r="K5" s="190"/>
      <c r="L5" s="190"/>
    </row>
    <row r="6" spans="1:17" ht="21.6" thickBot="1">
      <c r="A6" s="190"/>
      <c r="C6" s="192"/>
      <c r="D6" s="190"/>
      <c r="E6" s="190"/>
      <c r="F6" s="190"/>
      <c r="H6" s="190"/>
      <c r="I6" s="190"/>
      <c r="J6" s="190"/>
      <c r="K6" s="190"/>
      <c r="L6" s="190"/>
    </row>
    <row r="7" spans="1:17" ht="16.2" thickBot="1">
      <c r="B7" s="193" t="s">
        <v>136</v>
      </c>
      <c r="C7" s="190" t="s">
        <v>1438</v>
      </c>
      <c r="D7" s="190"/>
      <c r="F7" s="194">
        <v>18</v>
      </c>
      <c r="I7" s="190"/>
      <c r="J7" s="190"/>
      <c r="K7" s="190"/>
      <c r="L7" s="190"/>
      <c r="M7" s="190"/>
      <c r="N7" s="190"/>
      <c r="O7" s="190"/>
      <c r="P7" s="190"/>
      <c r="Q7" s="190"/>
    </row>
    <row r="8" spans="1:17" ht="15.6">
      <c r="B8" s="193"/>
      <c r="C8" s="190"/>
      <c r="D8" s="190"/>
      <c r="E8" s="190"/>
      <c r="F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ht="15.6">
      <c r="B9" s="193" t="s">
        <v>136</v>
      </c>
      <c r="C9" s="190" t="s">
        <v>231</v>
      </c>
      <c r="D9" s="190"/>
      <c r="E9" s="190"/>
      <c r="F9" s="190"/>
      <c r="G9" s="190"/>
      <c r="H9" s="190"/>
      <c r="I9" s="190"/>
      <c r="J9" s="190"/>
      <c r="K9" s="190"/>
      <c r="L9" s="190"/>
    </row>
    <row r="10" spans="1:17" ht="16.2" thickBot="1"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D11" s="203" t="s">
        <v>232</v>
      </c>
      <c r="E11" s="204" t="s">
        <v>233</v>
      </c>
      <c r="F11" s="205" t="s">
        <v>234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>
      <c r="C12" s="193"/>
      <c r="D12" s="197" t="s">
        <v>14</v>
      </c>
      <c r="E12" s="206">
        <v>2562000</v>
      </c>
      <c r="F12" s="214">
        <v>0.94289521828465939</v>
      </c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</row>
    <row r="13" spans="1:17" ht="15.6">
      <c r="C13" s="193"/>
      <c r="D13" s="197" t="s">
        <v>79</v>
      </c>
      <c r="E13" s="206">
        <v>155163</v>
      </c>
      <c r="F13" s="214">
        <v>5.7104781715340593E-2</v>
      </c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7" ht="16.2" thickBot="1">
      <c r="C14" s="193"/>
      <c r="D14" s="200" t="s">
        <v>88</v>
      </c>
      <c r="E14" s="271">
        <v>2717163</v>
      </c>
      <c r="F14" s="272">
        <v>1</v>
      </c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6">
      <c r="C15" s="193"/>
      <c r="D15" s="196"/>
      <c r="E15" s="222"/>
      <c r="F15" s="223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</row>
    <row r="16" spans="1:17" ht="15.6">
      <c r="B16" s="193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1:17" ht="15.6">
      <c r="B17" s="193"/>
      <c r="C17" s="190"/>
      <c r="D17" s="190"/>
      <c r="F17" s="190"/>
      <c r="H17" s="199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1:17" ht="15.6">
      <c r="B18" s="193" t="s">
        <v>136</v>
      </c>
      <c r="C18" s="190" t="s">
        <v>1259</v>
      </c>
      <c r="D18" s="190"/>
      <c r="F18" s="190"/>
      <c r="H18" s="199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1:17" ht="15.6">
      <c r="B19" s="193"/>
      <c r="C19" s="190" t="s">
        <v>1260</v>
      </c>
      <c r="D19" s="190"/>
      <c r="F19" s="190"/>
      <c r="H19" s="199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7" ht="15.6">
      <c r="B20" s="193"/>
      <c r="C20" s="190"/>
      <c r="D20" s="190"/>
      <c r="F20" s="190"/>
      <c r="H20" s="199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7" ht="15.6">
      <c r="B21" s="193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</row>
    <row r="22" spans="1:17" s="263" customFormat="1" ht="15.6">
      <c r="C22" s="265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263" customFormat="1" ht="15.6">
      <c r="C23" s="265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263" customFormat="1" ht="15.6">
      <c r="C24" s="265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263" customFormat="1" ht="15.6">
      <c r="A25" s="262"/>
      <c r="B25" s="262"/>
      <c r="C25" s="262"/>
      <c r="D25" s="32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263" customFormat="1" ht="15.6">
      <c r="A26" s="262"/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263" customFormat="1" ht="15.6">
      <c r="A27" s="262"/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5"/>
  <sheetViews>
    <sheetView showZeros="0" rightToLeft="1" tabSelected="1" zoomScaleNormal="100" workbookViewId="0">
      <pane xSplit="3" ySplit="4" topLeftCell="D20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" defaultRowHeight="13.8"/>
  <cols>
    <col min="1" max="1" width="3.77734375" style="308" customWidth="1"/>
    <col min="2" max="2" width="5.77734375" style="308" customWidth="1"/>
    <col min="3" max="3" width="20.77734375" style="309" customWidth="1"/>
    <col min="4" max="5" width="9.77734375" style="310" customWidth="1"/>
    <col min="6" max="6" width="8.77734375" style="310" customWidth="1"/>
    <col min="7" max="7" width="10.44140625" style="310" hidden="1" customWidth="1"/>
    <col min="8" max="8" width="11" style="310" hidden="1" customWidth="1"/>
    <col min="9" max="11" width="9.109375" style="310" hidden="1" customWidth="1"/>
    <col min="12" max="12" width="9.77734375" style="310" customWidth="1"/>
    <col min="13" max="14" width="8.77734375" style="310" customWidth="1"/>
    <col min="15" max="15" width="9.77734375" style="310" customWidth="1"/>
    <col min="16" max="16" width="11.109375" style="310" hidden="1" customWidth="1"/>
    <col min="17" max="17" width="9.6640625" style="310" hidden="1" customWidth="1"/>
    <col min="18" max="19" width="13.5546875" style="310" hidden="1" customWidth="1"/>
    <col min="20" max="20" width="8.77734375" style="310" customWidth="1"/>
    <col min="21" max="21" width="8.77734375" style="308" customWidth="1"/>
    <col min="22" max="22" width="9.109375" style="308" hidden="1" customWidth="1"/>
    <col min="23" max="23" width="8.77734375" style="308" customWidth="1"/>
    <col min="24" max="26" width="13.5546875" style="308" hidden="1" customWidth="1"/>
    <col min="27" max="27" width="8.77734375" style="308" customWidth="1"/>
    <col min="28" max="28" width="36" style="309" customWidth="1"/>
    <col min="29" max="29" width="7.109375" style="308" hidden="1" customWidth="1"/>
    <col min="30" max="30" width="22.6640625" style="306" customWidth="1"/>
    <col min="31" max="31" width="20.33203125" style="306" customWidth="1"/>
    <col min="32" max="32" width="22.6640625" style="306" customWidth="1"/>
    <col min="33" max="33" width="25.88671875" style="306" customWidth="1"/>
    <col min="34" max="34" width="12.44140625" style="306" customWidth="1"/>
    <col min="35" max="35" width="17.44140625" style="306" customWidth="1"/>
    <col min="36" max="36" width="11.88671875" style="308" customWidth="1"/>
    <col min="37" max="16384" width="8" style="308"/>
  </cols>
  <sheetData>
    <row r="1" spans="1:35" s="452" customFormat="1" ht="13.2" customHeight="1">
      <c r="A1" s="447"/>
      <c r="B1" s="447"/>
      <c r="C1" s="448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9"/>
      <c r="Y1" s="449"/>
      <c r="Z1" s="449"/>
      <c r="AA1" s="450"/>
      <c r="AB1" s="451"/>
      <c r="AC1" s="450"/>
      <c r="AD1" s="306"/>
      <c r="AE1" s="306"/>
      <c r="AF1" s="306"/>
      <c r="AG1" s="306"/>
      <c r="AH1" s="306"/>
      <c r="AI1" s="306"/>
    </row>
    <row r="2" spans="1:35" s="452" customFormat="1" ht="18">
      <c r="A2" s="447" t="s">
        <v>921</v>
      </c>
      <c r="B2" s="447"/>
      <c r="C2" s="448"/>
      <c r="D2" s="447"/>
      <c r="E2" s="453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54"/>
      <c r="Y2" s="454"/>
      <c r="Z2" s="454"/>
      <c r="AA2" s="454"/>
      <c r="AB2" s="454"/>
      <c r="AC2" s="454"/>
      <c r="AD2" s="306"/>
      <c r="AE2" s="306"/>
      <c r="AF2" s="306"/>
      <c r="AG2" s="306"/>
      <c r="AH2" s="306"/>
      <c r="AI2" s="306"/>
    </row>
    <row r="3" spans="1:35" ht="20.399999999999999" customHeight="1"/>
    <row r="4" spans="1:35" s="306" customFormat="1" ht="86.25" customHeight="1">
      <c r="A4" s="144" t="s">
        <v>0</v>
      </c>
      <c r="B4" s="305" t="s">
        <v>1</v>
      </c>
      <c r="C4" s="305" t="s">
        <v>2</v>
      </c>
      <c r="D4" s="305" t="s">
        <v>3</v>
      </c>
      <c r="E4" s="305" t="s">
        <v>4</v>
      </c>
      <c r="F4" s="305" t="s">
        <v>5</v>
      </c>
      <c r="G4" s="305" t="s">
        <v>6</v>
      </c>
      <c r="H4" s="305" t="s">
        <v>7</v>
      </c>
      <c r="I4" s="305" t="s">
        <v>9</v>
      </c>
      <c r="J4" s="305" t="s">
        <v>132</v>
      </c>
      <c r="K4" s="305" t="s">
        <v>10</v>
      </c>
      <c r="L4" s="305" t="s">
        <v>11</v>
      </c>
      <c r="M4" s="305" t="s">
        <v>875</v>
      </c>
      <c r="N4" s="305" t="s">
        <v>876</v>
      </c>
      <c r="O4" s="2" t="s">
        <v>877</v>
      </c>
      <c r="P4" s="2" t="s">
        <v>12</v>
      </c>
      <c r="Q4" s="2" t="s">
        <v>878</v>
      </c>
      <c r="R4" s="2" t="s">
        <v>879</v>
      </c>
      <c r="S4" s="2" t="s">
        <v>880</v>
      </c>
      <c r="T4" s="2" t="s">
        <v>881</v>
      </c>
      <c r="U4" s="2" t="s">
        <v>882</v>
      </c>
      <c r="V4" s="305" t="s">
        <v>13</v>
      </c>
      <c r="W4" s="305" t="s">
        <v>14</v>
      </c>
      <c r="X4" s="305" t="s">
        <v>15</v>
      </c>
      <c r="Y4" s="305" t="s">
        <v>225</v>
      </c>
      <c r="Z4" s="305" t="s">
        <v>575</v>
      </c>
      <c r="AA4" s="305" t="s">
        <v>79</v>
      </c>
      <c r="AB4" s="455" t="s">
        <v>257</v>
      </c>
      <c r="AC4" s="305" t="s">
        <v>16</v>
      </c>
    </row>
    <row r="5" spans="1:35" s="304" customFormat="1" ht="55.2">
      <c r="A5" s="301">
        <v>1</v>
      </c>
      <c r="B5" s="307">
        <v>1776</v>
      </c>
      <c r="C5" s="301" t="s">
        <v>52</v>
      </c>
      <c r="D5" s="302">
        <v>3347000</v>
      </c>
      <c r="E5" s="302">
        <v>2465000</v>
      </c>
      <c r="F5" s="302">
        <v>882000</v>
      </c>
      <c r="G5" s="302">
        <v>2155000</v>
      </c>
      <c r="H5" s="302">
        <v>1433156</v>
      </c>
      <c r="I5" s="302"/>
      <c r="J5" s="302">
        <v>519595</v>
      </c>
      <c r="K5" s="302">
        <v>519595</v>
      </c>
      <c r="L5" s="302">
        <v>1952751</v>
      </c>
      <c r="M5" s="302">
        <v>412249</v>
      </c>
      <c r="N5" s="302">
        <v>500000</v>
      </c>
      <c r="O5" s="302">
        <v>482000</v>
      </c>
      <c r="P5" s="302">
        <v>202249</v>
      </c>
      <c r="Q5" s="456">
        <v>210000</v>
      </c>
      <c r="R5" s="302"/>
      <c r="S5" s="302">
        <v>210000</v>
      </c>
      <c r="T5" s="302">
        <v>0</v>
      </c>
      <c r="U5" s="302">
        <v>500000</v>
      </c>
      <c r="V5" s="302"/>
      <c r="W5" s="302">
        <v>500000</v>
      </c>
      <c r="X5" s="302"/>
      <c r="Y5" s="302"/>
      <c r="Z5" s="302"/>
      <c r="AA5" s="303"/>
      <c r="AB5" s="307" t="s">
        <v>582</v>
      </c>
      <c r="AC5" s="301">
        <v>810000</v>
      </c>
      <c r="AD5" s="306"/>
      <c r="AE5" s="306"/>
      <c r="AF5" s="306"/>
      <c r="AG5" s="306"/>
      <c r="AH5" s="306"/>
      <c r="AI5" s="457"/>
    </row>
    <row r="6" spans="1:35" s="304" customFormat="1" ht="41.4">
      <c r="A6" s="301">
        <f t="shared" ref="A6:A22" si="0">A5+1</f>
        <v>2</v>
      </c>
      <c r="B6" s="307">
        <v>1930</v>
      </c>
      <c r="C6" s="301" t="s">
        <v>116</v>
      </c>
      <c r="D6" s="302">
        <v>1676000</v>
      </c>
      <c r="E6" s="302">
        <v>1676000</v>
      </c>
      <c r="F6" s="302">
        <v>0</v>
      </c>
      <c r="G6" s="302">
        <v>1676000</v>
      </c>
      <c r="H6" s="302">
        <v>1500307</v>
      </c>
      <c r="I6" s="302"/>
      <c r="J6" s="302">
        <v>115904.6</v>
      </c>
      <c r="K6" s="302">
        <v>115904.6</v>
      </c>
      <c r="L6" s="302">
        <v>1616211.6</v>
      </c>
      <c r="M6" s="302">
        <v>59788.399999999907</v>
      </c>
      <c r="N6" s="302">
        <v>0</v>
      </c>
      <c r="O6" s="302">
        <v>0</v>
      </c>
      <c r="P6" s="302">
        <v>59788.399999999907</v>
      </c>
      <c r="Q6" s="302"/>
      <c r="R6" s="302"/>
      <c r="S6" s="302">
        <v>0</v>
      </c>
      <c r="T6" s="302">
        <v>0</v>
      </c>
      <c r="U6" s="302">
        <v>0</v>
      </c>
      <c r="V6" s="302"/>
      <c r="W6" s="302">
        <v>0</v>
      </c>
      <c r="X6" s="302"/>
      <c r="Y6" s="302"/>
      <c r="Z6" s="302"/>
      <c r="AA6" s="302"/>
      <c r="AB6" s="301" t="s">
        <v>1412</v>
      </c>
      <c r="AC6" s="301">
        <v>810000</v>
      </c>
      <c r="AD6" s="306"/>
      <c r="AE6" s="306"/>
      <c r="AF6" s="306"/>
      <c r="AG6" s="306"/>
      <c r="AH6" s="306"/>
      <c r="AI6" s="457"/>
    </row>
    <row r="7" spans="1:35" s="304" customFormat="1" ht="40.049999999999997" customHeight="1">
      <c r="A7" s="301">
        <f t="shared" si="0"/>
        <v>3</v>
      </c>
      <c r="B7" s="307">
        <v>2033</v>
      </c>
      <c r="C7" s="301" t="s">
        <v>292</v>
      </c>
      <c r="D7" s="302">
        <v>700000</v>
      </c>
      <c r="E7" s="302">
        <v>700000</v>
      </c>
      <c r="F7" s="302">
        <v>0</v>
      </c>
      <c r="G7" s="302">
        <v>700000</v>
      </c>
      <c r="H7" s="302">
        <v>655856</v>
      </c>
      <c r="I7" s="302"/>
      <c r="J7" s="302">
        <v>35685</v>
      </c>
      <c r="K7" s="302">
        <v>35685</v>
      </c>
      <c r="L7" s="302">
        <v>691541</v>
      </c>
      <c r="M7" s="302">
        <v>8459</v>
      </c>
      <c r="N7" s="302">
        <v>0</v>
      </c>
      <c r="O7" s="302">
        <v>0</v>
      </c>
      <c r="P7" s="302">
        <v>8459</v>
      </c>
      <c r="Q7" s="302"/>
      <c r="R7" s="302"/>
      <c r="S7" s="302">
        <v>0</v>
      </c>
      <c r="T7" s="302">
        <v>0</v>
      </c>
      <c r="U7" s="302">
        <v>0</v>
      </c>
      <c r="V7" s="302"/>
      <c r="W7" s="302">
        <v>0</v>
      </c>
      <c r="X7" s="302"/>
      <c r="Y7" s="302"/>
      <c r="Z7" s="302"/>
      <c r="AA7" s="303"/>
      <c r="AB7" s="301" t="s">
        <v>1191</v>
      </c>
      <c r="AC7" s="301">
        <v>810000</v>
      </c>
      <c r="AD7" s="306"/>
      <c r="AE7" s="306"/>
      <c r="AF7" s="306"/>
      <c r="AG7" s="306"/>
      <c r="AH7" s="306"/>
      <c r="AI7" s="457"/>
    </row>
    <row r="8" spans="1:35" s="304" customFormat="1" ht="40.049999999999997" customHeight="1">
      <c r="A8" s="301">
        <f t="shared" si="0"/>
        <v>4</v>
      </c>
      <c r="B8" s="307">
        <v>2034</v>
      </c>
      <c r="C8" s="301" t="s">
        <v>294</v>
      </c>
      <c r="D8" s="302">
        <v>2900000</v>
      </c>
      <c r="E8" s="302">
        <v>2900000</v>
      </c>
      <c r="F8" s="302">
        <v>0</v>
      </c>
      <c r="G8" s="302">
        <v>2900000</v>
      </c>
      <c r="H8" s="302">
        <v>2734895</v>
      </c>
      <c r="I8" s="302"/>
      <c r="J8" s="302">
        <v>81311</v>
      </c>
      <c r="K8" s="302">
        <v>81311</v>
      </c>
      <c r="L8" s="302">
        <v>2816206</v>
      </c>
      <c r="M8" s="302">
        <v>83794</v>
      </c>
      <c r="N8" s="302">
        <v>0</v>
      </c>
      <c r="O8" s="302">
        <v>0</v>
      </c>
      <c r="P8" s="302">
        <v>83794</v>
      </c>
      <c r="Q8" s="302"/>
      <c r="R8" s="302"/>
      <c r="S8" s="302">
        <v>0</v>
      </c>
      <c r="T8" s="302">
        <v>0</v>
      </c>
      <c r="U8" s="302">
        <v>0</v>
      </c>
      <c r="V8" s="302"/>
      <c r="W8" s="302">
        <v>0</v>
      </c>
      <c r="X8" s="302"/>
      <c r="Y8" s="302"/>
      <c r="Z8" s="302"/>
      <c r="AA8" s="303"/>
      <c r="AB8" s="301" t="s">
        <v>1190</v>
      </c>
      <c r="AC8" s="301">
        <v>810000</v>
      </c>
      <c r="AD8" s="306"/>
      <c r="AE8" s="306"/>
      <c r="AF8" s="306"/>
      <c r="AG8" s="306"/>
      <c r="AH8" s="306"/>
      <c r="AI8" s="457"/>
    </row>
    <row r="9" spans="1:35" s="304" customFormat="1" ht="40.049999999999997" customHeight="1">
      <c r="A9" s="301">
        <f t="shared" si="0"/>
        <v>5</v>
      </c>
      <c r="B9" s="307">
        <v>2090</v>
      </c>
      <c r="C9" s="301" t="s">
        <v>296</v>
      </c>
      <c r="D9" s="302">
        <v>350000</v>
      </c>
      <c r="E9" s="302">
        <v>350000</v>
      </c>
      <c r="F9" s="302">
        <v>0</v>
      </c>
      <c r="G9" s="302">
        <v>350000</v>
      </c>
      <c r="H9" s="302">
        <v>266383</v>
      </c>
      <c r="I9" s="302"/>
      <c r="J9" s="302">
        <v>33792.49</v>
      </c>
      <c r="K9" s="302">
        <v>33792.49</v>
      </c>
      <c r="L9" s="302">
        <v>300175.49</v>
      </c>
      <c r="M9" s="302">
        <v>49824.510000000009</v>
      </c>
      <c r="N9" s="302">
        <v>0</v>
      </c>
      <c r="O9" s="302">
        <v>0</v>
      </c>
      <c r="P9" s="302">
        <v>49824.510000000009</v>
      </c>
      <c r="Q9" s="302"/>
      <c r="R9" s="302"/>
      <c r="S9" s="302">
        <v>0</v>
      </c>
      <c r="T9" s="302">
        <v>0</v>
      </c>
      <c r="U9" s="302">
        <v>0</v>
      </c>
      <c r="V9" s="302"/>
      <c r="W9" s="302">
        <v>0</v>
      </c>
      <c r="X9" s="302"/>
      <c r="Y9" s="302"/>
      <c r="Z9" s="302"/>
      <c r="AA9" s="303"/>
      <c r="AB9" s="301" t="s">
        <v>628</v>
      </c>
      <c r="AC9" s="301">
        <v>810000</v>
      </c>
      <c r="AD9" s="306"/>
      <c r="AE9" s="306"/>
      <c r="AF9" s="306"/>
      <c r="AG9" s="306"/>
      <c r="AH9" s="306"/>
      <c r="AI9" s="457"/>
    </row>
    <row r="10" spans="1:35" s="304" customFormat="1" ht="40.049999999999997" customHeight="1">
      <c r="A10" s="301">
        <f t="shared" si="0"/>
        <v>6</v>
      </c>
      <c r="B10" s="307">
        <v>2091</v>
      </c>
      <c r="C10" s="301" t="s">
        <v>297</v>
      </c>
      <c r="D10" s="302">
        <v>1360000</v>
      </c>
      <c r="E10" s="302">
        <v>1360000</v>
      </c>
      <c r="F10" s="302">
        <v>0</v>
      </c>
      <c r="G10" s="302">
        <v>400000</v>
      </c>
      <c r="H10" s="302">
        <v>80000</v>
      </c>
      <c r="I10" s="302"/>
      <c r="J10" s="302">
        <v>80057</v>
      </c>
      <c r="K10" s="302">
        <v>80057</v>
      </c>
      <c r="L10" s="302">
        <v>160057</v>
      </c>
      <c r="M10" s="302">
        <v>239943</v>
      </c>
      <c r="N10" s="302">
        <v>960000</v>
      </c>
      <c r="O10" s="302">
        <v>0</v>
      </c>
      <c r="P10" s="302">
        <v>239943</v>
      </c>
      <c r="Q10" s="302">
        <v>0</v>
      </c>
      <c r="R10" s="302"/>
      <c r="S10" s="302">
        <v>0</v>
      </c>
      <c r="T10" s="302">
        <v>0</v>
      </c>
      <c r="U10" s="302">
        <v>960000</v>
      </c>
      <c r="V10" s="302"/>
      <c r="W10" s="302">
        <v>0</v>
      </c>
      <c r="X10" s="302"/>
      <c r="Y10" s="302"/>
      <c r="Z10" s="302"/>
      <c r="AA10" s="303">
        <v>960000</v>
      </c>
      <c r="AB10" s="301" t="s">
        <v>589</v>
      </c>
      <c r="AC10" s="301">
        <v>810000</v>
      </c>
      <c r="AD10" s="306"/>
      <c r="AE10" s="306"/>
      <c r="AF10" s="306"/>
      <c r="AG10" s="306"/>
      <c r="AH10" s="306"/>
      <c r="AI10" s="457"/>
    </row>
    <row r="11" spans="1:35" s="304" customFormat="1" ht="40.049999999999997" customHeight="1">
      <c r="A11" s="301">
        <f t="shared" si="0"/>
        <v>7</v>
      </c>
      <c r="B11" s="307">
        <v>2092</v>
      </c>
      <c r="C11" s="301" t="s">
        <v>357</v>
      </c>
      <c r="D11" s="302">
        <v>4050720</v>
      </c>
      <c r="E11" s="302">
        <v>4050720</v>
      </c>
      <c r="F11" s="302">
        <v>0</v>
      </c>
      <c r="G11" s="302">
        <v>4050720</v>
      </c>
      <c r="H11" s="302">
        <v>3267883</v>
      </c>
      <c r="I11" s="302"/>
      <c r="J11" s="302">
        <v>0</v>
      </c>
      <c r="K11" s="302">
        <v>0</v>
      </c>
      <c r="L11" s="302">
        <v>3267883</v>
      </c>
      <c r="M11" s="302">
        <v>0</v>
      </c>
      <c r="N11" s="302">
        <v>0</v>
      </c>
      <c r="O11" s="302">
        <v>782837</v>
      </c>
      <c r="P11" s="302">
        <v>782837</v>
      </c>
      <c r="Q11" s="302"/>
      <c r="R11" s="302"/>
      <c r="S11" s="302">
        <v>0</v>
      </c>
      <c r="T11" s="302">
        <v>782837</v>
      </c>
      <c r="U11" s="302">
        <v>-782837</v>
      </c>
      <c r="V11" s="302"/>
      <c r="W11" s="302">
        <v>0</v>
      </c>
      <c r="X11" s="302"/>
      <c r="Y11" s="302"/>
      <c r="Z11" s="302"/>
      <c r="AA11" s="303">
        <v>-782837</v>
      </c>
      <c r="AB11" s="301" t="s">
        <v>922</v>
      </c>
      <c r="AC11" s="301">
        <v>810000</v>
      </c>
      <c r="AD11" s="306"/>
      <c r="AE11" s="306"/>
      <c r="AF11" s="306"/>
      <c r="AG11" s="306"/>
      <c r="AH11" s="306"/>
      <c r="AI11" s="457"/>
    </row>
    <row r="12" spans="1:35" s="304" customFormat="1" ht="40.049999999999997" customHeight="1">
      <c r="A12" s="301">
        <f t="shared" si="0"/>
        <v>8</v>
      </c>
      <c r="B12" s="307">
        <v>2135</v>
      </c>
      <c r="C12" s="301" t="s">
        <v>408</v>
      </c>
      <c r="D12" s="302">
        <v>23000000</v>
      </c>
      <c r="E12" s="302">
        <v>23000000</v>
      </c>
      <c r="F12" s="302">
        <v>0</v>
      </c>
      <c r="G12" s="302"/>
      <c r="H12" s="302">
        <v>0</v>
      </c>
      <c r="I12" s="302"/>
      <c r="J12" s="302">
        <v>0</v>
      </c>
      <c r="K12" s="302">
        <v>0</v>
      </c>
      <c r="L12" s="302">
        <v>0</v>
      </c>
      <c r="M12" s="302">
        <v>0</v>
      </c>
      <c r="N12" s="302">
        <v>1000000</v>
      </c>
      <c r="O12" s="302">
        <v>22000000</v>
      </c>
      <c r="P12" s="302">
        <v>0</v>
      </c>
      <c r="Q12" s="302">
        <v>0</v>
      </c>
      <c r="R12" s="302"/>
      <c r="S12" s="302">
        <v>0</v>
      </c>
      <c r="T12" s="302">
        <v>0</v>
      </c>
      <c r="U12" s="302">
        <v>1000000</v>
      </c>
      <c r="V12" s="302"/>
      <c r="W12" s="302">
        <v>1000000</v>
      </c>
      <c r="X12" s="302"/>
      <c r="Y12" s="302"/>
      <c r="Z12" s="302"/>
      <c r="AA12" s="303"/>
      <c r="AB12" s="301" t="s">
        <v>834</v>
      </c>
      <c r="AC12" s="301">
        <v>810000</v>
      </c>
      <c r="AD12" s="306"/>
      <c r="AE12" s="306"/>
      <c r="AF12" s="306"/>
      <c r="AG12" s="306"/>
      <c r="AH12" s="306"/>
      <c r="AI12" s="457"/>
    </row>
    <row r="13" spans="1:35" s="304" customFormat="1" ht="40.049999999999997" customHeight="1">
      <c r="A13" s="301">
        <f t="shared" si="0"/>
        <v>9</v>
      </c>
      <c r="B13" s="307">
        <v>2160</v>
      </c>
      <c r="C13" s="301" t="s">
        <v>433</v>
      </c>
      <c r="D13" s="302">
        <v>210000</v>
      </c>
      <c r="E13" s="302">
        <v>210000</v>
      </c>
      <c r="F13" s="302">
        <v>0</v>
      </c>
      <c r="G13" s="302">
        <v>210000</v>
      </c>
      <c r="H13" s="302">
        <v>0</v>
      </c>
      <c r="I13" s="302"/>
      <c r="J13" s="302">
        <v>0</v>
      </c>
      <c r="K13" s="302">
        <v>0</v>
      </c>
      <c r="L13" s="302">
        <v>0</v>
      </c>
      <c r="M13" s="302">
        <v>210000</v>
      </c>
      <c r="N13" s="302">
        <v>0</v>
      </c>
      <c r="O13" s="302">
        <v>0</v>
      </c>
      <c r="P13" s="302">
        <v>210000</v>
      </c>
      <c r="Q13" s="302"/>
      <c r="R13" s="302"/>
      <c r="S13" s="302">
        <v>0</v>
      </c>
      <c r="T13" s="302">
        <v>0</v>
      </c>
      <c r="U13" s="302">
        <v>0</v>
      </c>
      <c r="V13" s="302"/>
      <c r="W13" s="302">
        <v>0</v>
      </c>
      <c r="X13" s="302"/>
      <c r="Y13" s="302"/>
      <c r="Z13" s="302"/>
      <c r="AA13" s="303"/>
      <c r="AB13" s="301" t="s">
        <v>434</v>
      </c>
      <c r="AC13" s="301">
        <v>810000</v>
      </c>
      <c r="AD13" s="306"/>
      <c r="AE13" s="306"/>
      <c r="AF13" s="306"/>
      <c r="AG13" s="306"/>
      <c r="AH13" s="306"/>
      <c r="AI13" s="457"/>
    </row>
    <row r="14" spans="1:35" s="304" customFormat="1" ht="40.049999999999997" customHeight="1">
      <c r="A14" s="301">
        <f t="shared" si="0"/>
        <v>10</v>
      </c>
      <c r="B14" s="307">
        <v>2179</v>
      </c>
      <c r="C14" s="301" t="s">
        <v>527</v>
      </c>
      <c r="D14" s="302">
        <v>390000</v>
      </c>
      <c r="E14" s="302">
        <v>390000</v>
      </c>
      <c r="F14" s="302">
        <v>0</v>
      </c>
      <c r="G14" s="302">
        <v>390000</v>
      </c>
      <c r="H14" s="302">
        <v>293310</v>
      </c>
      <c r="I14" s="302"/>
      <c r="J14" s="302">
        <v>0</v>
      </c>
      <c r="K14" s="302">
        <v>0</v>
      </c>
      <c r="L14" s="302">
        <v>293310</v>
      </c>
      <c r="M14" s="302">
        <v>96690</v>
      </c>
      <c r="N14" s="302">
        <v>-100000</v>
      </c>
      <c r="O14" s="302">
        <v>100000</v>
      </c>
      <c r="P14" s="302">
        <v>96690</v>
      </c>
      <c r="Q14" s="302"/>
      <c r="R14" s="302"/>
      <c r="S14" s="302">
        <v>0</v>
      </c>
      <c r="T14" s="302">
        <v>0</v>
      </c>
      <c r="U14" s="302">
        <v>-100000</v>
      </c>
      <c r="V14" s="302"/>
      <c r="W14" s="302">
        <v>0</v>
      </c>
      <c r="X14" s="302"/>
      <c r="Y14" s="302"/>
      <c r="Z14" s="302"/>
      <c r="AA14" s="303">
        <v>-100000</v>
      </c>
      <c r="AB14" s="301" t="s">
        <v>1189</v>
      </c>
      <c r="AC14" s="301">
        <v>810000</v>
      </c>
      <c r="AD14" s="306"/>
      <c r="AE14" s="306"/>
      <c r="AF14" s="306"/>
      <c r="AG14" s="306"/>
      <c r="AH14" s="306"/>
      <c r="AI14" s="457"/>
    </row>
    <row r="15" spans="1:35" s="304" customFormat="1" ht="40.049999999999997" customHeight="1">
      <c r="A15" s="301">
        <f t="shared" si="0"/>
        <v>11</v>
      </c>
      <c r="B15" s="307">
        <v>2217</v>
      </c>
      <c r="C15" s="301" t="s">
        <v>894</v>
      </c>
      <c r="D15" s="302">
        <v>1990000</v>
      </c>
      <c r="E15" s="302">
        <v>2650000</v>
      </c>
      <c r="F15" s="302">
        <v>-660000</v>
      </c>
      <c r="G15" s="302">
        <v>1750000</v>
      </c>
      <c r="H15" s="302">
        <v>1087039.78</v>
      </c>
      <c r="I15" s="302"/>
      <c r="J15" s="302">
        <v>566249.4</v>
      </c>
      <c r="K15" s="302">
        <v>566249.4</v>
      </c>
      <c r="L15" s="302">
        <v>1653289.1800000002</v>
      </c>
      <c r="M15" s="302">
        <v>96710.819999999832</v>
      </c>
      <c r="N15" s="302">
        <v>240000</v>
      </c>
      <c r="O15" s="302">
        <v>0</v>
      </c>
      <c r="P15" s="302">
        <v>96710.819999999832</v>
      </c>
      <c r="Q15" s="302"/>
      <c r="R15" s="302"/>
      <c r="S15" s="302">
        <v>0</v>
      </c>
      <c r="T15" s="302">
        <v>0</v>
      </c>
      <c r="U15" s="302">
        <v>240000</v>
      </c>
      <c r="V15" s="302"/>
      <c r="W15" s="302">
        <v>240000</v>
      </c>
      <c r="X15" s="302"/>
      <c r="Y15" s="302"/>
      <c r="Z15" s="302"/>
      <c r="AA15" s="302"/>
      <c r="AB15" s="301" t="s">
        <v>934</v>
      </c>
      <c r="AC15" s="301">
        <v>810000</v>
      </c>
      <c r="AD15" s="306"/>
      <c r="AE15" s="306"/>
      <c r="AF15" s="306"/>
      <c r="AG15" s="306"/>
      <c r="AH15" s="306"/>
      <c r="AI15" s="457"/>
    </row>
    <row r="16" spans="1:35" s="304" customFormat="1" ht="40.049999999999997" customHeight="1">
      <c r="A16" s="301">
        <f t="shared" si="0"/>
        <v>12</v>
      </c>
      <c r="B16" s="307">
        <v>2218</v>
      </c>
      <c r="C16" s="301" t="s">
        <v>529</v>
      </c>
      <c r="D16" s="302">
        <v>1400000</v>
      </c>
      <c r="E16" s="302">
        <v>1400000</v>
      </c>
      <c r="F16" s="302">
        <v>0</v>
      </c>
      <c r="G16" s="302">
        <v>1400000</v>
      </c>
      <c r="H16" s="302">
        <v>908070</v>
      </c>
      <c r="I16" s="302"/>
      <c r="J16" s="302">
        <v>71842.460000000006</v>
      </c>
      <c r="K16" s="302">
        <v>71842.460000000006</v>
      </c>
      <c r="L16" s="302">
        <v>979912.46</v>
      </c>
      <c r="M16" s="302">
        <v>420087.54000000004</v>
      </c>
      <c r="N16" s="302">
        <v>0</v>
      </c>
      <c r="O16" s="302">
        <v>0</v>
      </c>
      <c r="P16" s="302">
        <v>420087.54000000004</v>
      </c>
      <c r="Q16" s="302"/>
      <c r="R16" s="302"/>
      <c r="S16" s="302">
        <v>0</v>
      </c>
      <c r="T16" s="302">
        <v>0</v>
      </c>
      <c r="U16" s="302">
        <v>0</v>
      </c>
      <c r="V16" s="302"/>
      <c r="W16" s="302">
        <v>0</v>
      </c>
      <c r="X16" s="302"/>
      <c r="Y16" s="302"/>
      <c r="Z16" s="302"/>
      <c r="AA16" s="302"/>
      <c r="AB16" s="301" t="s">
        <v>588</v>
      </c>
      <c r="AC16" s="301">
        <v>810000</v>
      </c>
      <c r="AD16" s="306"/>
      <c r="AE16" s="306"/>
      <c r="AF16" s="306"/>
      <c r="AG16" s="306"/>
      <c r="AH16" s="306"/>
      <c r="AI16" s="457"/>
    </row>
    <row r="17" spans="1:50" s="304" customFormat="1" ht="40.049999999999997" customHeight="1">
      <c r="A17" s="301">
        <f t="shared" si="0"/>
        <v>13</v>
      </c>
      <c r="B17" s="307">
        <v>2219</v>
      </c>
      <c r="C17" s="301" t="s">
        <v>530</v>
      </c>
      <c r="D17" s="302">
        <v>440000</v>
      </c>
      <c r="E17" s="302">
        <v>750000</v>
      </c>
      <c r="F17" s="302">
        <v>-310000</v>
      </c>
      <c r="G17" s="302">
        <v>540000</v>
      </c>
      <c r="H17" s="302">
        <v>233915.11</v>
      </c>
      <c r="I17" s="302"/>
      <c r="J17" s="302">
        <v>36828</v>
      </c>
      <c r="K17" s="302">
        <v>36828</v>
      </c>
      <c r="L17" s="302">
        <v>270743.11</v>
      </c>
      <c r="M17" s="302">
        <v>169256.89</v>
      </c>
      <c r="N17" s="302"/>
      <c r="O17" s="302">
        <v>0</v>
      </c>
      <c r="P17" s="302">
        <v>269256.89</v>
      </c>
      <c r="Q17" s="302"/>
      <c r="R17" s="302"/>
      <c r="S17" s="302">
        <v>0</v>
      </c>
      <c r="T17" s="302">
        <v>100000</v>
      </c>
      <c r="U17" s="302">
        <v>-100000</v>
      </c>
      <c r="V17" s="302"/>
      <c r="W17" s="302">
        <v>-100000</v>
      </c>
      <c r="X17" s="302"/>
      <c r="Y17" s="302"/>
      <c r="Z17" s="302"/>
      <c r="AA17" s="302"/>
      <c r="AB17" s="301" t="s">
        <v>758</v>
      </c>
      <c r="AC17" s="301">
        <v>810000</v>
      </c>
      <c r="AD17" s="306"/>
      <c r="AE17" s="306"/>
      <c r="AF17" s="306"/>
      <c r="AG17" s="306"/>
      <c r="AH17" s="306"/>
      <c r="AI17" s="457"/>
    </row>
    <row r="18" spans="1:50" s="304" customFormat="1" ht="40.049999999999997" customHeight="1">
      <c r="A18" s="301">
        <f t="shared" si="0"/>
        <v>14</v>
      </c>
      <c r="B18" s="307">
        <v>2227</v>
      </c>
      <c r="C18" s="301" t="s">
        <v>667</v>
      </c>
      <c r="D18" s="302">
        <v>100000</v>
      </c>
      <c r="E18" s="302">
        <v>100000</v>
      </c>
      <c r="F18" s="302">
        <v>0</v>
      </c>
      <c r="G18" s="302">
        <v>100000</v>
      </c>
      <c r="H18" s="302">
        <v>0</v>
      </c>
      <c r="I18" s="302"/>
      <c r="J18" s="302">
        <v>0</v>
      </c>
      <c r="K18" s="302">
        <v>0</v>
      </c>
      <c r="L18" s="302">
        <v>0</v>
      </c>
      <c r="M18" s="302">
        <v>100000</v>
      </c>
      <c r="N18" s="302">
        <v>0</v>
      </c>
      <c r="O18" s="302">
        <v>0</v>
      </c>
      <c r="P18" s="302">
        <v>100000</v>
      </c>
      <c r="Q18" s="302"/>
      <c r="R18" s="302"/>
      <c r="S18" s="302">
        <v>0</v>
      </c>
      <c r="T18" s="302">
        <v>0</v>
      </c>
      <c r="U18" s="302">
        <v>0</v>
      </c>
      <c r="V18" s="302"/>
      <c r="W18" s="302">
        <v>0</v>
      </c>
      <c r="X18" s="302"/>
      <c r="Y18" s="302"/>
      <c r="Z18" s="302"/>
      <c r="AA18" s="302"/>
      <c r="AB18" s="301" t="s">
        <v>682</v>
      </c>
      <c r="AC18" s="301">
        <v>810000</v>
      </c>
      <c r="AD18" s="306"/>
      <c r="AE18" s="306"/>
      <c r="AF18" s="306"/>
      <c r="AG18" s="306"/>
      <c r="AH18" s="306"/>
      <c r="AI18" s="457"/>
    </row>
    <row r="19" spans="1:50" s="304" customFormat="1" ht="40.049999999999997" customHeight="1">
      <c r="A19" s="301">
        <f t="shared" si="0"/>
        <v>15</v>
      </c>
      <c r="B19" s="307">
        <v>20041</v>
      </c>
      <c r="C19" s="301" t="s">
        <v>760</v>
      </c>
      <c r="D19" s="302">
        <v>100000</v>
      </c>
      <c r="E19" s="302">
        <v>100000</v>
      </c>
      <c r="F19" s="302">
        <v>0</v>
      </c>
      <c r="G19" s="302">
        <v>100000</v>
      </c>
      <c r="H19" s="302">
        <v>0</v>
      </c>
      <c r="I19" s="302"/>
      <c r="J19" s="302">
        <v>0</v>
      </c>
      <c r="K19" s="302">
        <v>0</v>
      </c>
      <c r="L19" s="302">
        <v>0</v>
      </c>
      <c r="M19" s="302">
        <v>100000</v>
      </c>
      <c r="N19" s="302">
        <v>0</v>
      </c>
      <c r="O19" s="302">
        <v>0</v>
      </c>
      <c r="P19" s="302">
        <v>100000</v>
      </c>
      <c r="Q19" s="302"/>
      <c r="R19" s="302"/>
      <c r="S19" s="302">
        <v>0</v>
      </c>
      <c r="T19" s="302">
        <v>0</v>
      </c>
      <c r="U19" s="302">
        <v>0</v>
      </c>
      <c r="V19" s="302">
        <v>0</v>
      </c>
      <c r="W19" s="302">
        <v>0</v>
      </c>
      <c r="X19" s="302"/>
      <c r="Y19" s="302"/>
      <c r="Z19" s="302"/>
      <c r="AA19" s="302"/>
      <c r="AB19" s="301" t="s">
        <v>761</v>
      </c>
      <c r="AC19" s="301">
        <v>810000</v>
      </c>
      <c r="AD19" s="306"/>
      <c r="AE19" s="306"/>
      <c r="AF19" s="306"/>
      <c r="AG19" s="306"/>
      <c r="AH19" s="306"/>
      <c r="AI19" s="457"/>
    </row>
    <row r="20" spans="1:50" s="304" customFormat="1" ht="40.049999999999997" customHeight="1">
      <c r="A20" s="301">
        <f t="shared" si="0"/>
        <v>16</v>
      </c>
      <c r="B20" s="307">
        <v>20042</v>
      </c>
      <c r="C20" s="301" t="s">
        <v>762</v>
      </c>
      <c r="D20" s="302">
        <v>1300000</v>
      </c>
      <c r="E20" s="302">
        <v>1300000</v>
      </c>
      <c r="F20" s="302">
        <v>0</v>
      </c>
      <c r="G20" s="302">
        <v>650000</v>
      </c>
      <c r="H20" s="302">
        <v>328</v>
      </c>
      <c r="I20" s="302"/>
      <c r="J20" s="302">
        <v>348398</v>
      </c>
      <c r="K20" s="302">
        <v>348398</v>
      </c>
      <c r="L20" s="302">
        <v>348726</v>
      </c>
      <c r="M20" s="302">
        <v>301274</v>
      </c>
      <c r="N20" s="302">
        <v>300000</v>
      </c>
      <c r="O20" s="302">
        <v>350000</v>
      </c>
      <c r="P20" s="302">
        <v>301274</v>
      </c>
      <c r="Q20" s="302"/>
      <c r="R20" s="302"/>
      <c r="S20" s="302">
        <v>0</v>
      </c>
      <c r="T20" s="302">
        <v>0</v>
      </c>
      <c r="U20" s="302">
        <v>300000</v>
      </c>
      <c r="V20" s="302">
        <v>0</v>
      </c>
      <c r="W20" s="302">
        <v>300000</v>
      </c>
      <c r="X20" s="302"/>
      <c r="Y20" s="302"/>
      <c r="Z20" s="302"/>
      <c r="AA20" s="302"/>
      <c r="AB20" s="301" t="s">
        <v>1413</v>
      </c>
      <c r="AC20" s="301">
        <v>810000</v>
      </c>
      <c r="AD20" s="306"/>
      <c r="AE20" s="306"/>
      <c r="AF20" s="306"/>
      <c r="AG20" s="306"/>
      <c r="AH20" s="306"/>
      <c r="AI20" s="457"/>
    </row>
    <row r="21" spans="1:50" s="304" customFormat="1" ht="40.049999999999997" customHeight="1">
      <c r="A21" s="301">
        <f t="shared" si="0"/>
        <v>17</v>
      </c>
      <c r="B21" s="307">
        <v>20043</v>
      </c>
      <c r="C21" s="301" t="s">
        <v>763</v>
      </c>
      <c r="D21" s="302">
        <v>1300000</v>
      </c>
      <c r="E21" s="302">
        <v>1300000</v>
      </c>
      <c r="F21" s="302">
        <v>0</v>
      </c>
      <c r="G21" s="302">
        <v>800000</v>
      </c>
      <c r="H21" s="302">
        <v>386</v>
      </c>
      <c r="I21" s="302"/>
      <c r="J21" s="302">
        <v>267326</v>
      </c>
      <c r="K21" s="302">
        <v>267326</v>
      </c>
      <c r="L21" s="302">
        <v>267712</v>
      </c>
      <c r="M21" s="302">
        <v>532288</v>
      </c>
      <c r="N21" s="302">
        <v>0</v>
      </c>
      <c r="O21" s="302">
        <v>500000</v>
      </c>
      <c r="P21" s="302">
        <v>532288</v>
      </c>
      <c r="Q21" s="302"/>
      <c r="R21" s="302"/>
      <c r="S21" s="302">
        <v>0</v>
      </c>
      <c r="T21" s="302">
        <v>0</v>
      </c>
      <c r="U21" s="302">
        <v>0</v>
      </c>
      <c r="V21" s="302">
        <v>0</v>
      </c>
      <c r="W21" s="302">
        <v>0</v>
      </c>
      <c r="X21" s="302"/>
      <c r="Y21" s="302"/>
      <c r="Z21" s="302"/>
      <c r="AA21" s="302"/>
      <c r="AB21" s="301" t="s">
        <v>1413</v>
      </c>
      <c r="AC21" s="301">
        <v>810000</v>
      </c>
      <c r="AD21" s="306"/>
      <c r="AE21" s="306"/>
      <c r="AF21" s="306"/>
      <c r="AG21" s="306"/>
      <c r="AH21" s="306"/>
      <c r="AI21" s="457"/>
    </row>
    <row r="22" spans="1:50" s="304" customFormat="1" ht="69">
      <c r="A22" s="301">
        <f t="shared" si="0"/>
        <v>18</v>
      </c>
      <c r="B22" s="307">
        <v>20044</v>
      </c>
      <c r="C22" s="301" t="s">
        <v>116</v>
      </c>
      <c r="D22" s="302">
        <v>1476000</v>
      </c>
      <c r="E22" s="302">
        <v>776000</v>
      </c>
      <c r="F22" s="302">
        <v>700000</v>
      </c>
      <c r="G22" s="302">
        <v>776000</v>
      </c>
      <c r="H22" s="302">
        <v>2997.3</v>
      </c>
      <c r="I22" s="302"/>
      <c r="J22" s="302">
        <v>662030.69999999995</v>
      </c>
      <c r="K22" s="302">
        <v>662030.69999999995</v>
      </c>
      <c r="L22" s="302">
        <v>665028</v>
      </c>
      <c r="M22" s="302">
        <v>110972</v>
      </c>
      <c r="N22" s="302">
        <v>700000</v>
      </c>
      <c r="O22" s="302">
        <v>0</v>
      </c>
      <c r="P22" s="302">
        <v>110972</v>
      </c>
      <c r="Q22" s="302"/>
      <c r="R22" s="302"/>
      <c r="S22" s="302">
        <v>0</v>
      </c>
      <c r="T22" s="302">
        <v>0</v>
      </c>
      <c r="U22" s="302">
        <v>700000</v>
      </c>
      <c r="V22" s="302"/>
      <c r="W22" s="302">
        <v>622000</v>
      </c>
      <c r="X22" s="302"/>
      <c r="Y22" s="302"/>
      <c r="Z22" s="302"/>
      <c r="AA22" s="302">
        <v>78000</v>
      </c>
      <c r="AB22" s="301" t="s">
        <v>1192</v>
      </c>
      <c r="AC22" s="301">
        <v>810000</v>
      </c>
      <c r="AD22" s="306"/>
      <c r="AE22" s="306"/>
      <c r="AF22" s="306"/>
      <c r="AG22" s="306"/>
      <c r="AH22" s="306"/>
      <c r="AI22" s="457"/>
    </row>
    <row r="23" spans="1:50" s="459" customFormat="1" ht="40.049999999999997" customHeight="1">
      <c r="A23" s="311">
        <f>A22</f>
        <v>18</v>
      </c>
      <c r="B23" s="311"/>
      <c r="C23" s="311" t="s">
        <v>923</v>
      </c>
      <c r="D23" s="458">
        <v>46089720</v>
      </c>
      <c r="E23" s="458">
        <v>45477720</v>
      </c>
      <c r="F23" s="458">
        <v>612000</v>
      </c>
      <c r="G23" s="458">
        <v>18947720</v>
      </c>
      <c r="H23" s="458">
        <v>12464526.189999999</v>
      </c>
      <c r="I23" s="458">
        <v>0</v>
      </c>
      <c r="J23" s="458">
        <v>2819019.6500000004</v>
      </c>
      <c r="K23" s="458">
        <v>2819019.6500000004</v>
      </c>
      <c r="L23" s="458">
        <v>15283545.84</v>
      </c>
      <c r="M23" s="458">
        <v>2991337.1599999997</v>
      </c>
      <c r="N23" s="458">
        <v>3600000</v>
      </c>
      <c r="O23" s="458">
        <v>24214837</v>
      </c>
      <c r="P23" s="458">
        <v>3664174.1599999997</v>
      </c>
      <c r="Q23" s="458">
        <v>210000</v>
      </c>
      <c r="R23" s="458">
        <v>0</v>
      </c>
      <c r="S23" s="458">
        <v>210000</v>
      </c>
      <c r="T23" s="458">
        <v>882837</v>
      </c>
      <c r="U23" s="458">
        <v>2717163</v>
      </c>
      <c r="V23" s="458">
        <v>0</v>
      </c>
      <c r="W23" s="458">
        <v>2562000</v>
      </c>
      <c r="X23" s="458">
        <v>0</v>
      </c>
      <c r="Y23" s="458">
        <v>0</v>
      </c>
      <c r="Z23" s="458">
        <v>0</v>
      </c>
      <c r="AA23" s="458">
        <v>155163</v>
      </c>
      <c r="AB23" s="311"/>
      <c r="AC23" s="311"/>
      <c r="AD23" s="306"/>
      <c r="AE23" s="306"/>
      <c r="AF23" s="306"/>
      <c r="AG23" s="306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</row>
    <row r="24" spans="1:50" s="454" customFormat="1">
      <c r="A24" s="308"/>
      <c r="B24" s="308"/>
      <c r="C24" s="309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09"/>
      <c r="AC24" s="308"/>
      <c r="AD24" s="306"/>
      <c r="AE24" s="306"/>
      <c r="AF24" s="306"/>
      <c r="AG24" s="306"/>
      <c r="AH24" s="306"/>
      <c r="AI24" s="306"/>
    </row>
    <row r="25" spans="1:50" s="454" customFormat="1">
      <c r="A25" s="308"/>
      <c r="B25" s="308"/>
      <c r="C25" s="309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09"/>
      <c r="AC25" s="308"/>
      <c r="AD25" s="306"/>
      <c r="AE25" s="306"/>
      <c r="AF25" s="306"/>
      <c r="AG25" s="306"/>
      <c r="AH25" s="306"/>
      <c r="AI25" s="306"/>
    </row>
  </sheetData>
  <sheetProtection formatCells="0" formatColumns="0" formatRows="0" insertColumns="0" insertRows="0" insertHyperlinks="0" deleteColumns="0" deleteRows="0" sort="0" autoFilter="0" pivotTables="0"/>
  <conditionalFormatting sqref="AJ1:XFD2 Z1:AC1 Z2:AA2 AC2 A1:W2">
    <cfRule type="cellIs" dxfId="129" priority="5" operator="equal">
      <formula>0</formula>
    </cfRule>
  </conditionalFormatting>
  <conditionalFormatting sqref="AB4">
    <cfRule type="cellIs" dxfId="128" priority="4" operator="equal">
      <formula>0</formula>
    </cfRule>
  </conditionalFormatting>
  <conditionalFormatting sqref="X1:X2">
    <cfRule type="cellIs" dxfId="127" priority="3" operator="equal">
      <formula>0</formula>
    </cfRule>
  </conditionalFormatting>
  <conditionalFormatting sqref="AB2">
    <cfRule type="cellIs" dxfId="126" priority="2" operator="equal">
      <formula>0</formula>
    </cfRule>
  </conditionalFormatting>
  <conditionalFormatting sqref="Y1:Y2">
    <cfRule type="cellIs" dxfId="125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6"/>
  <sheetViews>
    <sheetView showZeros="0" rightToLeft="1" tabSelected="1" zoomScaleNormal="100" workbookViewId="0">
      <selection activeCell="M31" sqref="M31"/>
    </sheetView>
  </sheetViews>
  <sheetFormatPr defaultColWidth="9.109375" defaultRowHeight="13.8"/>
  <cols>
    <col min="1" max="2" width="4.109375" style="81" customWidth="1"/>
    <col min="3" max="3" width="56.88671875" style="81" customWidth="1"/>
    <col min="4" max="4" width="9.109375" style="81"/>
    <col min="5" max="5" width="15.6640625" style="81" customWidth="1"/>
    <col min="6" max="8" width="9.109375" style="81"/>
    <col min="9" max="9" width="7.88671875" style="81" customWidth="1"/>
    <col min="10" max="16384" width="9.109375" style="81"/>
  </cols>
  <sheetData>
    <row r="3" spans="1:16" ht="21">
      <c r="C3" s="82"/>
    </row>
    <row r="4" spans="1:16" ht="15.6">
      <c r="A4" s="83" t="s">
        <v>154</v>
      </c>
      <c r="B4" s="83" t="s">
        <v>154</v>
      </c>
      <c r="C4" s="84" t="s">
        <v>155</v>
      </c>
    </row>
    <row r="5" spans="1:16" ht="15.6">
      <c r="A5" s="83"/>
      <c r="B5" s="83"/>
      <c r="C5" s="84"/>
    </row>
    <row r="6" spans="1:16" ht="15.6">
      <c r="A6" s="83">
        <v>1.1000000000000001</v>
      </c>
      <c r="B6" s="83"/>
      <c r="C6" s="85" t="s">
        <v>156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ht="15.6">
      <c r="A7" s="83"/>
      <c r="B7" s="83"/>
      <c r="C7" s="83" t="s">
        <v>157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 ht="15.6">
      <c r="A8" s="83"/>
      <c r="B8" s="83"/>
      <c r="C8" s="83" t="s">
        <v>479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 ht="15.6">
      <c r="A9" s="83"/>
      <c r="B9" s="83"/>
      <c r="C9" s="83" t="s">
        <v>478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6" ht="15.6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</row>
    <row r="11" spans="1:16" ht="15.6">
      <c r="A11" s="83"/>
      <c r="B11" s="83"/>
      <c r="C11" s="83" t="s">
        <v>158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</row>
    <row r="12" spans="1:16" ht="15.6">
      <c r="A12" s="86"/>
      <c r="B12" s="86" t="s">
        <v>136</v>
      </c>
      <c r="C12" s="83" t="s">
        <v>159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</row>
    <row r="13" spans="1:16" ht="15.6">
      <c r="A13" s="83"/>
      <c r="B13" s="86" t="s">
        <v>136</v>
      </c>
      <c r="C13" s="83" t="s">
        <v>641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</row>
    <row r="14" spans="1:16" ht="15.6">
      <c r="A14" s="83"/>
      <c r="B14" s="86" t="s">
        <v>136</v>
      </c>
      <c r="C14" s="83" t="s">
        <v>160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</row>
    <row r="15" spans="1:16" ht="15.6">
      <c r="A15" s="83"/>
      <c r="B15" s="83"/>
      <c r="C15" s="83" t="s">
        <v>161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</row>
    <row r="16" spans="1:16" ht="15.6">
      <c r="A16" s="83"/>
      <c r="B16" s="86" t="s">
        <v>136</v>
      </c>
      <c r="C16" s="83" t="s">
        <v>162</v>
      </c>
      <c r="D16" s="83"/>
      <c r="E16" s="83"/>
      <c r="F16" s="83"/>
      <c r="G16" s="83"/>
      <c r="H16" s="83"/>
      <c r="I16" s="83"/>
      <c r="J16" s="85"/>
      <c r="K16" s="83"/>
      <c r="L16" s="83"/>
      <c r="M16" s="83"/>
      <c r="N16" s="83"/>
      <c r="O16" s="83"/>
      <c r="P16" s="83"/>
    </row>
    <row r="17" spans="1:16" ht="15.6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</row>
    <row r="18" spans="1:16" ht="15.6">
      <c r="A18" s="83">
        <v>1.2</v>
      </c>
      <c r="B18" s="83"/>
      <c r="C18" s="85" t="s">
        <v>163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ht="15.6">
      <c r="A19" s="83"/>
      <c r="B19" s="83"/>
      <c r="C19" s="83" t="s">
        <v>164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6" ht="15.6">
      <c r="A20" s="83"/>
      <c r="B20" s="83"/>
      <c r="C20" s="83" t="s">
        <v>476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</row>
    <row r="21" spans="1:16" ht="15.6">
      <c r="A21" s="83"/>
      <c r="B21" s="83"/>
      <c r="C21" s="83" t="s">
        <v>477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</row>
    <row r="22" spans="1:16" ht="15.6">
      <c r="A22" s="83"/>
      <c r="B22" s="83"/>
      <c r="C22" s="83" t="s">
        <v>165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15.6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1:16" ht="15.6">
      <c r="A24" s="83">
        <v>1.3</v>
      </c>
      <c r="B24" s="83"/>
      <c r="C24" s="85" t="s">
        <v>166</v>
      </c>
      <c r="D24" s="83"/>
      <c r="E24" s="84" t="s">
        <v>167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</row>
    <row r="25" spans="1:16" ht="15.6">
      <c r="A25" s="83"/>
      <c r="B25" s="83"/>
      <c r="C25" s="85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1:16" ht="16.2" thickBo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1:16" ht="16.2" thickBot="1">
      <c r="A27" s="83"/>
      <c r="B27" s="86" t="s">
        <v>136</v>
      </c>
      <c r="C27" s="83" t="s">
        <v>1243</v>
      </c>
      <c r="E27" s="422">
        <v>466170.20299999998</v>
      </c>
      <c r="K27" s="83"/>
      <c r="L27" s="83"/>
      <c r="M27" s="83"/>
      <c r="N27" s="83"/>
      <c r="O27" s="83"/>
      <c r="P27" s="83"/>
    </row>
    <row r="28" spans="1:16" ht="16.2" hidden="1" thickBot="1">
      <c r="A28" s="83"/>
      <c r="B28" s="83"/>
      <c r="C28" s="83"/>
      <c r="D28" s="83"/>
      <c r="E28" s="42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1:16" ht="16.2" thickBot="1">
      <c r="A29" s="83"/>
      <c r="B29" s="86" t="s">
        <v>136</v>
      </c>
      <c r="C29" s="83" t="s">
        <v>1244</v>
      </c>
      <c r="E29" s="422">
        <v>511425.81599999999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</row>
    <row r="30" spans="1:16" ht="16.2" hidden="1" thickBot="1">
      <c r="A30" s="83"/>
      <c r="B30" s="83"/>
      <c r="C30" s="83"/>
      <c r="D30" s="87"/>
      <c r="E30" s="42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</row>
    <row r="31" spans="1:16" ht="16.2" thickBot="1">
      <c r="A31" s="83"/>
      <c r="B31" s="86" t="s">
        <v>136</v>
      </c>
      <c r="C31" s="83" t="s">
        <v>168</v>
      </c>
      <c r="E31" s="422">
        <v>5214185.767</v>
      </c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</row>
    <row r="32" spans="1:16" ht="15.6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</row>
    <row r="33" spans="1:16" ht="15.6">
      <c r="A33" s="83"/>
      <c r="B33" s="88"/>
      <c r="C33" s="88"/>
      <c r="D33" s="88"/>
      <c r="E33" s="88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</row>
    <row r="34" spans="1:16" ht="15.6">
      <c r="A34" s="83"/>
      <c r="B34" s="86" t="s">
        <v>136</v>
      </c>
      <c r="C34" s="83" t="s">
        <v>1270</v>
      </c>
      <c r="D34" s="83"/>
      <c r="E34" s="1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1:16" ht="15.6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1:16" s="83" customFormat="1" ht="15.6">
      <c r="B36" s="86"/>
      <c r="C36" s="292"/>
      <c r="D36" s="292"/>
      <c r="E36" s="292"/>
    </row>
    <row r="37" spans="1:16" s="83" customFormat="1" ht="15.6">
      <c r="C37" s="292"/>
      <c r="D37" s="292"/>
      <c r="E37" s="292"/>
    </row>
    <row r="38" spans="1:16" s="83" customFormat="1" ht="15.6">
      <c r="C38" s="292"/>
      <c r="D38" s="292"/>
      <c r="E38" s="292"/>
    </row>
    <row r="39" spans="1:16" ht="15.6">
      <c r="A39" s="89"/>
      <c r="B39" s="89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</row>
    <row r="40" spans="1:16" ht="15.6">
      <c r="A40" s="89"/>
      <c r="B40" s="89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1:16" ht="15.6">
      <c r="A41" s="89"/>
      <c r="B41" s="89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ht="15.6">
      <c r="A42" s="89"/>
      <c r="B42" s="89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1:16" ht="15.6">
      <c r="A43" s="89"/>
      <c r="B43" s="89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</row>
    <row r="44" spans="1:16" ht="15.6">
      <c r="A44" s="89"/>
      <c r="B44" s="89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</row>
    <row r="45" spans="1:16" ht="15.6"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</row>
    <row r="46" spans="1:16" ht="15.6"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7"/>
  <sheetViews>
    <sheetView showZeros="0" rightToLeft="1" tabSelected="1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34.88671875" style="191" customWidth="1"/>
    <col min="5" max="5" width="30.44140625" style="191" customWidth="1"/>
    <col min="6" max="6" width="10.88671875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3" spans="1:17" ht="21">
      <c r="A3" s="190"/>
      <c r="C3" s="192" t="s">
        <v>314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1.6" thickBot="1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16.2" thickBot="1">
      <c r="A5" s="190"/>
      <c r="B5" s="193" t="s">
        <v>136</v>
      </c>
      <c r="C5" s="190" t="s">
        <v>1439</v>
      </c>
      <c r="D5" s="190"/>
      <c r="E5" s="190"/>
      <c r="F5" s="194">
        <v>3117000</v>
      </c>
      <c r="I5" s="190"/>
      <c r="J5" s="190"/>
      <c r="K5" s="190"/>
      <c r="L5" s="190"/>
    </row>
    <row r="6" spans="1:17" ht="21.6" thickBot="1">
      <c r="A6" s="190"/>
      <c r="C6" s="192"/>
      <c r="D6" s="190"/>
      <c r="E6" s="190"/>
      <c r="F6" s="190"/>
      <c r="H6" s="190"/>
      <c r="I6" s="190"/>
      <c r="J6" s="190"/>
      <c r="K6" s="190"/>
      <c r="L6" s="190"/>
    </row>
    <row r="7" spans="1:17" ht="16.2" thickBot="1">
      <c r="B7" s="193" t="s">
        <v>136</v>
      </c>
      <c r="C7" s="190" t="s">
        <v>1440</v>
      </c>
      <c r="D7" s="190"/>
      <c r="F7" s="194">
        <v>10</v>
      </c>
      <c r="I7" s="190"/>
      <c r="J7" s="190"/>
      <c r="K7" s="190"/>
      <c r="L7" s="190"/>
      <c r="M7" s="190"/>
      <c r="N7" s="190"/>
      <c r="O7" s="190"/>
      <c r="P7" s="190"/>
      <c r="Q7" s="190"/>
    </row>
    <row r="8" spans="1:17" ht="15.6">
      <c r="B8" s="193"/>
      <c r="C8" s="190"/>
      <c r="D8" s="190"/>
      <c r="E8" s="190"/>
      <c r="F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ht="15.6">
      <c r="B9" s="193" t="s">
        <v>136</v>
      </c>
      <c r="C9" s="190" t="s">
        <v>231</v>
      </c>
      <c r="D9" s="190"/>
      <c r="E9" s="190"/>
      <c r="F9" s="190"/>
      <c r="G9" s="190"/>
      <c r="H9" s="190"/>
      <c r="I9" s="190"/>
      <c r="J9" s="190"/>
      <c r="K9" s="190"/>
      <c r="L9" s="190"/>
    </row>
    <row r="10" spans="1:17" ht="16.2" thickBot="1"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D11" s="203" t="s">
        <v>232</v>
      </c>
      <c r="E11" s="204" t="s">
        <v>233</v>
      </c>
      <c r="F11" s="205" t="s">
        <v>234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 hidden="1">
      <c r="D12" s="197" t="s">
        <v>13</v>
      </c>
      <c r="E12" s="324" t="e">
        <f>#REF!</f>
        <v>#REF!</v>
      </c>
      <c r="F12" s="207" t="e">
        <f>E12/$E$14</f>
        <v>#REF!</v>
      </c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</row>
    <row r="13" spans="1:17" ht="15.6">
      <c r="C13" s="193"/>
      <c r="D13" s="197" t="s">
        <v>14</v>
      </c>
      <c r="E13" s="206">
        <v>3117000</v>
      </c>
      <c r="F13" s="207">
        <v>1</v>
      </c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7" ht="16.2" thickBot="1">
      <c r="C14" s="193"/>
      <c r="D14" s="200" t="s">
        <v>88</v>
      </c>
      <c r="E14" s="271">
        <v>3117000</v>
      </c>
      <c r="F14" s="272">
        <v>1</v>
      </c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6">
      <c r="B15" s="193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</row>
    <row r="16" spans="1:17" ht="15.6">
      <c r="B16" s="193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1:17" ht="15.6">
      <c r="B17" s="193"/>
      <c r="C17" s="190"/>
      <c r="D17" s="190"/>
      <c r="F17" s="190"/>
      <c r="H17" s="199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1:17" ht="15.6">
      <c r="B18" s="193" t="s">
        <v>136</v>
      </c>
      <c r="C18" s="190" t="s">
        <v>842</v>
      </c>
      <c r="D18" s="190"/>
      <c r="F18" s="190"/>
      <c r="H18" s="199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1:17" ht="15.6">
      <c r="B19" s="193"/>
      <c r="C19" s="190" t="s">
        <v>843</v>
      </c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2" spans="1:17" s="263" customFormat="1" ht="15.6">
      <c r="C22" s="265" t="s">
        <v>136</v>
      </c>
      <c r="D22" s="262" t="s">
        <v>606</v>
      </c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263" customFormat="1" ht="15.6">
      <c r="C23" s="265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263" customFormat="1" ht="15.6">
      <c r="A24" s="262"/>
      <c r="B24" s="262"/>
      <c r="C24" s="262"/>
      <c r="D24" s="322" t="s">
        <v>1261</v>
      </c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263" customFormat="1" ht="15.6">
      <c r="C25" s="265"/>
      <c r="D25" s="601" t="s">
        <v>1418</v>
      </c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263" customFormat="1" ht="15.6">
      <c r="A26" s="262"/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263" customFormat="1" ht="15.6">
      <c r="A27" s="262"/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"/>
  <sheetViews>
    <sheetView showZeros="0" rightToLeft="1" tabSelected="1" zoomScaleNormal="100" workbookViewId="0">
      <pane xSplit="3" ySplit="4" topLeftCell="D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3.8"/>
  <cols>
    <col min="1" max="1" width="3.77734375" style="26" customWidth="1"/>
    <col min="2" max="2" width="5.77734375" style="11" customWidth="1"/>
    <col min="3" max="3" width="18.33203125" style="11" customWidth="1"/>
    <col min="4" max="5" width="10.77734375" style="13" customWidth="1"/>
    <col min="6" max="6" width="9.77734375" style="13" customWidth="1"/>
    <col min="7" max="8" width="10.109375" style="13" hidden="1" customWidth="1"/>
    <col min="9" max="11" width="9.6640625" style="13" hidden="1" customWidth="1"/>
    <col min="12" max="12" width="10.77734375" style="13" customWidth="1"/>
    <col min="13" max="15" width="9.77734375" style="13" customWidth="1"/>
    <col min="16" max="19" width="9.6640625" style="13" hidden="1" customWidth="1"/>
    <col min="20" max="20" width="9.109375" style="13" customWidth="1"/>
    <col min="21" max="23" width="9.77734375" style="11" customWidth="1"/>
    <col min="24" max="27" width="8.5546875" style="11" hidden="1" customWidth="1"/>
    <col min="28" max="28" width="35.77734375" style="26" customWidth="1"/>
    <col min="29" max="29" width="7.88671875" style="11" hidden="1" customWidth="1"/>
    <col min="30" max="30" width="19" style="462" customWidth="1"/>
    <col min="31" max="31" width="17.6640625" style="462" customWidth="1"/>
    <col min="32" max="32" width="19" style="462" customWidth="1"/>
    <col min="33" max="33" width="24.6640625" style="462" customWidth="1"/>
    <col min="34" max="34" width="11" style="462" customWidth="1"/>
    <col min="35" max="35" width="22.44140625" style="462" customWidth="1"/>
    <col min="36" max="36" width="12.33203125" style="462" customWidth="1"/>
    <col min="37" max="16384" width="9.109375" style="11"/>
  </cols>
  <sheetData>
    <row r="1" spans="1:52" s="462" customFormat="1" ht="18">
      <c r="A1" s="460"/>
      <c r="B1" s="460"/>
      <c r="C1" s="460"/>
      <c r="D1" s="461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</row>
    <row r="2" spans="1:52" s="462" customFormat="1" ht="18">
      <c r="A2" s="460" t="s">
        <v>314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</row>
    <row r="3" spans="1:52" ht="20.399999999999999" customHeight="1"/>
    <row r="4" spans="1:52" s="22" customFormat="1" ht="75" customHeight="1">
      <c r="A4" s="144" t="s">
        <v>0</v>
      </c>
      <c r="B4" s="15" t="s">
        <v>461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9</v>
      </c>
      <c r="J4" s="15" t="s">
        <v>132</v>
      </c>
      <c r="K4" s="15" t="s">
        <v>10</v>
      </c>
      <c r="L4" s="15" t="s">
        <v>11</v>
      </c>
      <c r="M4" s="15" t="s">
        <v>875</v>
      </c>
      <c r="N4" s="15" t="s">
        <v>876</v>
      </c>
      <c r="O4" s="9" t="s">
        <v>877</v>
      </c>
      <c r="P4" s="9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15" t="s">
        <v>13</v>
      </c>
      <c r="W4" s="15" t="s">
        <v>14</v>
      </c>
      <c r="X4" s="15" t="s">
        <v>15</v>
      </c>
      <c r="Y4" s="15" t="s">
        <v>225</v>
      </c>
      <c r="Z4" s="15" t="s">
        <v>575</v>
      </c>
      <c r="AA4" s="15" t="s">
        <v>79</v>
      </c>
      <c r="AB4" s="15" t="s">
        <v>257</v>
      </c>
      <c r="AC4" s="15" t="s">
        <v>16</v>
      </c>
      <c r="AD4" s="462"/>
      <c r="AE4" s="462"/>
      <c r="AF4" s="462"/>
      <c r="AG4" s="462"/>
      <c r="AH4" s="462"/>
      <c r="AI4" s="462"/>
      <c r="AJ4" s="462"/>
    </row>
    <row r="5" spans="1:52" s="5" customFormat="1" ht="45" customHeight="1">
      <c r="A5" s="3">
        <v>1</v>
      </c>
      <c r="B5" s="3">
        <v>1486</v>
      </c>
      <c r="C5" s="3" t="s">
        <v>402</v>
      </c>
      <c r="D5" s="4">
        <v>9590365</v>
      </c>
      <c r="E5" s="4">
        <v>9110365</v>
      </c>
      <c r="F5" s="4">
        <v>480000</v>
      </c>
      <c r="G5" s="4">
        <v>7390365</v>
      </c>
      <c r="H5" s="4">
        <v>6989417</v>
      </c>
      <c r="I5" s="4">
        <v>0</v>
      </c>
      <c r="J5" s="4">
        <v>68210</v>
      </c>
      <c r="K5" s="4">
        <v>68210</v>
      </c>
      <c r="L5" s="4">
        <v>7057627</v>
      </c>
      <c r="M5" s="4">
        <v>1032738</v>
      </c>
      <c r="N5" s="4">
        <v>700000</v>
      </c>
      <c r="O5" s="4">
        <v>800000</v>
      </c>
      <c r="P5" s="4">
        <v>332738</v>
      </c>
      <c r="Q5" s="435">
        <v>700000</v>
      </c>
      <c r="R5" s="4"/>
      <c r="S5" s="4">
        <v>700000</v>
      </c>
      <c r="T5" s="4">
        <v>0</v>
      </c>
      <c r="U5" s="4">
        <v>700000</v>
      </c>
      <c r="V5" s="4"/>
      <c r="W5" s="4">
        <v>700000</v>
      </c>
      <c r="X5" s="4"/>
      <c r="Y5" s="4"/>
      <c r="Z5" s="4"/>
      <c r="AA5" s="3"/>
      <c r="AB5" s="3" t="s">
        <v>298</v>
      </c>
      <c r="AC5" s="3">
        <v>930000</v>
      </c>
      <c r="AD5" s="462"/>
      <c r="AE5" s="462"/>
      <c r="AF5" s="462"/>
      <c r="AG5" s="462"/>
      <c r="AH5" s="462"/>
      <c r="AI5" s="462"/>
      <c r="AJ5" s="462"/>
    </row>
    <row r="6" spans="1:52" s="5" customFormat="1" ht="45" customHeight="1">
      <c r="A6" s="3">
        <f>A5+1</f>
        <v>2</v>
      </c>
      <c r="B6" s="3">
        <v>1582</v>
      </c>
      <c r="C6" s="3" t="s">
        <v>51</v>
      </c>
      <c r="D6" s="4">
        <v>2055000</v>
      </c>
      <c r="E6" s="4">
        <v>2055000</v>
      </c>
      <c r="F6" s="4">
        <v>0</v>
      </c>
      <c r="G6" s="4">
        <v>934000</v>
      </c>
      <c r="H6" s="4">
        <v>933875</v>
      </c>
      <c r="I6" s="4">
        <v>0</v>
      </c>
      <c r="J6" s="4">
        <v>0</v>
      </c>
      <c r="K6" s="4">
        <v>0</v>
      </c>
      <c r="L6" s="4">
        <v>933875</v>
      </c>
      <c r="M6" s="4">
        <v>125</v>
      </c>
      <c r="N6" s="4">
        <v>300000</v>
      </c>
      <c r="O6" s="4">
        <v>821000</v>
      </c>
      <c r="P6" s="4">
        <v>125</v>
      </c>
      <c r="Q6" s="4"/>
      <c r="R6" s="4"/>
      <c r="S6" s="4">
        <v>0</v>
      </c>
      <c r="T6" s="4">
        <v>0</v>
      </c>
      <c r="U6" s="4">
        <v>300000</v>
      </c>
      <c r="V6" s="4"/>
      <c r="W6" s="4">
        <v>300000</v>
      </c>
      <c r="X6" s="4"/>
      <c r="Y6" s="4"/>
      <c r="Z6" s="4"/>
      <c r="AA6" s="3"/>
      <c r="AB6" s="59" t="s">
        <v>780</v>
      </c>
      <c r="AC6" s="3">
        <v>829000</v>
      </c>
      <c r="AD6" s="462"/>
      <c r="AE6" s="462"/>
      <c r="AF6" s="462"/>
      <c r="AG6" s="462"/>
      <c r="AH6" s="462"/>
      <c r="AI6" s="462"/>
      <c r="AJ6" s="462"/>
    </row>
    <row r="7" spans="1:52" s="5" customFormat="1" ht="45" customHeight="1">
      <c r="A7" s="3">
        <f t="shared" ref="A7:A14" si="0">A6+1</f>
        <v>3</v>
      </c>
      <c r="B7" s="3">
        <v>1678</v>
      </c>
      <c r="C7" s="3" t="s">
        <v>360</v>
      </c>
      <c r="D7" s="4">
        <v>2285000</v>
      </c>
      <c r="E7" s="4">
        <v>2010000</v>
      </c>
      <c r="F7" s="4">
        <v>275000</v>
      </c>
      <c r="G7" s="4">
        <v>2010000</v>
      </c>
      <c r="H7" s="4">
        <v>1806825</v>
      </c>
      <c r="I7" s="4">
        <v>0</v>
      </c>
      <c r="J7" s="4">
        <v>195887</v>
      </c>
      <c r="K7" s="4">
        <v>195887</v>
      </c>
      <c r="L7" s="4">
        <v>2002712</v>
      </c>
      <c r="M7" s="4">
        <v>7288</v>
      </c>
      <c r="N7" s="4">
        <v>275000</v>
      </c>
      <c r="O7" s="4">
        <v>0</v>
      </c>
      <c r="P7" s="4">
        <v>7288</v>
      </c>
      <c r="Q7" s="4"/>
      <c r="R7" s="4"/>
      <c r="S7" s="4">
        <v>0</v>
      </c>
      <c r="T7" s="4">
        <v>0</v>
      </c>
      <c r="U7" s="4">
        <v>275000</v>
      </c>
      <c r="V7" s="4"/>
      <c r="W7" s="4">
        <v>275000</v>
      </c>
      <c r="X7" s="4"/>
      <c r="Y7" s="4"/>
      <c r="Z7" s="4"/>
      <c r="AA7" s="3"/>
      <c r="AB7" s="3" t="s">
        <v>361</v>
      </c>
      <c r="AC7" s="3">
        <v>829000</v>
      </c>
      <c r="AD7" s="462"/>
      <c r="AE7" s="462"/>
      <c r="AF7" s="462"/>
      <c r="AG7" s="462"/>
      <c r="AH7" s="462"/>
      <c r="AI7" s="462"/>
      <c r="AJ7" s="462"/>
    </row>
    <row r="8" spans="1:52" s="5" customFormat="1" ht="45" customHeight="1">
      <c r="A8" s="3">
        <f t="shared" si="0"/>
        <v>4</v>
      </c>
      <c r="B8" s="230">
        <v>2004</v>
      </c>
      <c r="C8" s="3" t="s">
        <v>134</v>
      </c>
      <c r="D8" s="4">
        <v>1425000</v>
      </c>
      <c r="E8" s="4">
        <v>1185000</v>
      </c>
      <c r="F8" s="4">
        <v>240000</v>
      </c>
      <c r="G8" s="4">
        <v>1185000</v>
      </c>
      <c r="H8" s="4">
        <v>1057102</v>
      </c>
      <c r="I8" s="4">
        <v>0</v>
      </c>
      <c r="J8" s="4">
        <v>86658</v>
      </c>
      <c r="K8" s="4">
        <v>86658</v>
      </c>
      <c r="L8" s="4">
        <v>1143760</v>
      </c>
      <c r="M8" s="4">
        <v>41240</v>
      </c>
      <c r="N8" s="4">
        <v>240000</v>
      </c>
      <c r="O8" s="4">
        <v>0</v>
      </c>
      <c r="P8" s="4">
        <v>41240</v>
      </c>
      <c r="Q8" s="4"/>
      <c r="R8" s="4"/>
      <c r="S8" s="4">
        <v>0</v>
      </c>
      <c r="T8" s="4">
        <v>0</v>
      </c>
      <c r="U8" s="4">
        <v>240000</v>
      </c>
      <c r="V8" s="4"/>
      <c r="W8" s="4">
        <v>240000</v>
      </c>
      <c r="X8" s="4"/>
      <c r="Y8" s="4"/>
      <c r="Z8" s="4"/>
      <c r="AA8" s="3"/>
      <c r="AB8" s="3" t="s">
        <v>924</v>
      </c>
      <c r="AC8" s="3">
        <v>829000</v>
      </c>
      <c r="AD8" s="462"/>
      <c r="AE8" s="462"/>
      <c r="AF8" s="462"/>
      <c r="AG8" s="462"/>
      <c r="AH8" s="462"/>
      <c r="AI8" s="462"/>
      <c r="AJ8" s="462"/>
    </row>
    <row r="9" spans="1:52" s="5" customFormat="1" ht="45" customHeight="1">
      <c r="A9" s="3">
        <f t="shared" si="0"/>
        <v>5</v>
      </c>
      <c r="B9" s="3">
        <v>2031</v>
      </c>
      <c r="C9" s="3" t="s">
        <v>299</v>
      </c>
      <c r="D9" s="4">
        <v>2700000</v>
      </c>
      <c r="E9" s="4">
        <v>2700000</v>
      </c>
      <c r="F9" s="4">
        <v>0</v>
      </c>
      <c r="G9" s="4">
        <v>2700000</v>
      </c>
      <c r="H9" s="4">
        <v>2571864</v>
      </c>
      <c r="I9" s="4">
        <v>0</v>
      </c>
      <c r="J9" s="4">
        <v>78599</v>
      </c>
      <c r="K9" s="4">
        <v>78599</v>
      </c>
      <c r="L9" s="4">
        <v>2650463</v>
      </c>
      <c r="M9" s="4">
        <v>49537</v>
      </c>
      <c r="N9" s="4"/>
      <c r="O9" s="4">
        <v>0</v>
      </c>
      <c r="P9" s="4">
        <v>49537</v>
      </c>
      <c r="Q9" s="4"/>
      <c r="R9" s="4"/>
      <c r="S9" s="4">
        <v>0</v>
      </c>
      <c r="T9" s="4">
        <v>0</v>
      </c>
      <c r="U9" s="4">
        <v>0</v>
      </c>
      <c r="V9" s="4"/>
      <c r="W9" s="4">
        <v>0</v>
      </c>
      <c r="X9" s="4"/>
      <c r="Y9" s="4"/>
      <c r="Z9" s="4"/>
      <c r="AA9" s="3"/>
      <c r="AB9" s="3" t="s">
        <v>499</v>
      </c>
      <c r="AC9" s="3">
        <v>826000</v>
      </c>
      <c r="AD9" s="462"/>
      <c r="AE9" s="462"/>
      <c r="AF9" s="462"/>
      <c r="AG9" s="462"/>
      <c r="AH9" s="462"/>
      <c r="AI9" s="462"/>
      <c r="AJ9" s="462"/>
    </row>
    <row r="10" spans="1:52" s="5" customFormat="1" ht="45" customHeight="1">
      <c r="A10" s="3">
        <f t="shared" si="0"/>
        <v>6</v>
      </c>
      <c r="B10" s="230">
        <v>2060</v>
      </c>
      <c r="C10" s="3" t="s">
        <v>359</v>
      </c>
      <c r="D10" s="4">
        <v>2871000</v>
      </c>
      <c r="E10" s="4">
        <v>2521000</v>
      </c>
      <c r="F10" s="4">
        <v>350000</v>
      </c>
      <c r="G10" s="4">
        <v>2521000</v>
      </c>
      <c r="H10" s="4">
        <v>2409520</v>
      </c>
      <c r="I10" s="4">
        <v>0</v>
      </c>
      <c r="J10" s="4"/>
      <c r="K10" s="4">
        <v>0</v>
      </c>
      <c r="L10" s="4">
        <v>2409520</v>
      </c>
      <c r="M10" s="4">
        <v>111480</v>
      </c>
      <c r="N10" s="4">
        <v>350000</v>
      </c>
      <c r="O10" s="4">
        <v>0</v>
      </c>
      <c r="P10" s="4">
        <v>111480</v>
      </c>
      <c r="Q10" s="4"/>
      <c r="R10" s="4"/>
      <c r="S10" s="4">
        <v>0</v>
      </c>
      <c r="T10" s="4">
        <v>0</v>
      </c>
      <c r="U10" s="4">
        <v>350000</v>
      </c>
      <c r="V10" s="4"/>
      <c r="W10" s="4">
        <v>350000</v>
      </c>
      <c r="X10" s="4"/>
      <c r="Y10" s="4"/>
      <c r="Z10" s="4"/>
      <c r="AA10" s="4"/>
      <c r="AB10" s="3" t="s">
        <v>1414</v>
      </c>
      <c r="AC10" s="3">
        <v>829000</v>
      </c>
      <c r="AD10" s="462"/>
      <c r="AE10" s="462"/>
      <c r="AF10" s="462"/>
      <c r="AG10" s="462"/>
      <c r="AH10" s="462"/>
      <c r="AI10" s="462"/>
      <c r="AJ10" s="462"/>
    </row>
    <row r="11" spans="1:52" s="5" customFormat="1" ht="41.4">
      <c r="A11" s="3">
        <f t="shared" si="0"/>
        <v>7</v>
      </c>
      <c r="B11" s="28">
        <v>20033</v>
      </c>
      <c r="C11" s="3" t="s">
        <v>925</v>
      </c>
      <c r="D11" s="4">
        <v>1485000</v>
      </c>
      <c r="E11" s="4">
        <v>1125000</v>
      </c>
      <c r="F11" s="4">
        <v>360000</v>
      </c>
      <c r="G11" s="4">
        <v>910000</v>
      </c>
      <c r="H11" s="4"/>
      <c r="I11" s="4"/>
      <c r="J11" s="4">
        <v>910000</v>
      </c>
      <c r="K11" s="4">
        <v>910000</v>
      </c>
      <c r="L11" s="4">
        <v>910000</v>
      </c>
      <c r="M11" s="4">
        <v>215000</v>
      </c>
      <c r="N11" s="4">
        <v>360000</v>
      </c>
      <c r="O11" s="4">
        <v>0</v>
      </c>
      <c r="P11" s="4">
        <v>0</v>
      </c>
      <c r="Q11" s="4"/>
      <c r="R11" s="435">
        <v>215000</v>
      </c>
      <c r="S11" s="4">
        <v>215000</v>
      </c>
      <c r="T11" s="4"/>
      <c r="U11" s="4">
        <v>360000</v>
      </c>
      <c r="V11" s="4"/>
      <c r="W11" s="4">
        <v>360000</v>
      </c>
      <c r="X11" s="4"/>
      <c r="Y11" s="4"/>
      <c r="Z11" s="4"/>
      <c r="AA11" s="4"/>
      <c r="AB11" s="3" t="s">
        <v>1415</v>
      </c>
      <c r="AC11" s="3">
        <v>829000</v>
      </c>
      <c r="AD11" s="462"/>
      <c r="AE11" s="462"/>
      <c r="AF11" s="462"/>
      <c r="AG11" s="462"/>
      <c r="AH11" s="462"/>
      <c r="AI11" s="462"/>
      <c r="AJ11" s="462"/>
    </row>
    <row r="12" spans="1:52" s="5" customFormat="1" ht="55.2">
      <c r="A12" s="3">
        <f t="shared" si="0"/>
        <v>8</v>
      </c>
      <c r="B12" s="28">
        <v>20045</v>
      </c>
      <c r="C12" s="28" t="s">
        <v>1417</v>
      </c>
      <c r="D12" s="4">
        <v>962000</v>
      </c>
      <c r="E12" s="4">
        <v>370000</v>
      </c>
      <c r="F12" s="4">
        <v>592000</v>
      </c>
      <c r="G12" s="4">
        <v>370000</v>
      </c>
      <c r="H12" s="4">
        <v>105112</v>
      </c>
      <c r="I12" s="4">
        <v>0</v>
      </c>
      <c r="J12" s="4">
        <v>158593</v>
      </c>
      <c r="K12" s="4">
        <v>158593</v>
      </c>
      <c r="L12" s="4">
        <v>263705</v>
      </c>
      <c r="M12" s="4">
        <v>106295</v>
      </c>
      <c r="N12" s="4">
        <v>592000</v>
      </c>
      <c r="O12" s="4">
        <v>0</v>
      </c>
      <c r="P12" s="4">
        <v>106295</v>
      </c>
      <c r="Q12" s="4"/>
      <c r="R12" s="4"/>
      <c r="S12" s="4">
        <v>0</v>
      </c>
      <c r="T12" s="4">
        <v>0</v>
      </c>
      <c r="U12" s="4">
        <v>592000</v>
      </c>
      <c r="V12" s="4"/>
      <c r="W12" s="4">
        <v>592000</v>
      </c>
      <c r="X12" s="4"/>
      <c r="Y12" s="4"/>
      <c r="Z12" s="4"/>
      <c r="AA12" s="4"/>
      <c r="AB12" s="3" t="s">
        <v>1416</v>
      </c>
      <c r="AC12" s="3">
        <v>829000</v>
      </c>
      <c r="AD12" s="462"/>
      <c r="AE12" s="462"/>
      <c r="AF12" s="462"/>
      <c r="AG12" s="462"/>
      <c r="AH12" s="462"/>
      <c r="AI12" s="462"/>
      <c r="AJ12" s="462"/>
    </row>
    <row r="13" spans="1:52" s="5" customFormat="1" ht="45" customHeight="1">
      <c r="A13" s="3">
        <f t="shared" si="0"/>
        <v>9</v>
      </c>
      <c r="B13" s="28">
        <v>20046</v>
      </c>
      <c r="C13" s="3" t="s">
        <v>764</v>
      </c>
      <c r="D13" s="4">
        <v>235000</v>
      </c>
      <c r="E13" s="4">
        <v>235000</v>
      </c>
      <c r="F13" s="4">
        <v>0</v>
      </c>
      <c r="G13" s="4">
        <v>235000</v>
      </c>
      <c r="H13" s="4">
        <v>130927</v>
      </c>
      <c r="I13" s="4">
        <v>0</v>
      </c>
      <c r="J13" s="4">
        <v>0</v>
      </c>
      <c r="K13" s="4">
        <v>0</v>
      </c>
      <c r="L13" s="4">
        <v>130927</v>
      </c>
      <c r="M13" s="4">
        <v>104073</v>
      </c>
      <c r="N13" s="4"/>
      <c r="O13" s="4">
        <v>0</v>
      </c>
      <c r="P13" s="4">
        <v>104073</v>
      </c>
      <c r="Q13" s="4"/>
      <c r="R13" s="4"/>
      <c r="S13" s="4">
        <v>0</v>
      </c>
      <c r="T13" s="4">
        <v>0</v>
      </c>
      <c r="U13" s="4">
        <v>0</v>
      </c>
      <c r="V13" s="4"/>
      <c r="W13" s="4">
        <v>0</v>
      </c>
      <c r="X13" s="4"/>
      <c r="Y13" s="4"/>
      <c r="Z13" s="4"/>
      <c r="AA13" s="4"/>
      <c r="AB13" s="3" t="s">
        <v>765</v>
      </c>
      <c r="AC13" s="3">
        <v>829000</v>
      </c>
      <c r="AD13" s="462"/>
      <c r="AE13" s="462"/>
      <c r="AF13" s="462"/>
      <c r="AG13" s="462"/>
      <c r="AH13" s="462"/>
      <c r="AI13" s="462"/>
      <c r="AJ13" s="462"/>
    </row>
    <row r="14" spans="1:52" s="5" customFormat="1" ht="41.4">
      <c r="A14" s="3">
        <f t="shared" si="0"/>
        <v>10</v>
      </c>
      <c r="B14" s="28">
        <v>20075</v>
      </c>
      <c r="C14" s="3" t="s">
        <v>926</v>
      </c>
      <c r="D14" s="4">
        <v>300000</v>
      </c>
      <c r="E14" s="4"/>
      <c r="F14" s="4">
        <v>300000</v>
      </c>
      <c r="G14" s="4">
        <v>0</v>
      </c>
      <c r="H14" s="4">
        <v>0</v>
      </c>
      <c r="I14" s="4">
        <v>0</v>
      </c>
      <c r="J14" s="4">
        <v>0</v>
      </c>
      <c r="K14" s="4"/>
      <c r="L14" s="4"/>
      <c r="M14" s="4">
        <v>0</v>
      </c>
      <c r="N14" s="4">
        <v>300000</v>
      </c>
      <c r="O14" s="4">
        <v>0</v>
      </c>
      <c r="P14" s="4"/>
      <c r="Q14" s="4"/>
      <c r="R14" s="4"/>
      <c r="S14" s="4"/>
      <c r="T14" s="4"/>
      <c r="U14" s="4">
        <v>300000</v>
      </c>
      <c r="V14" s="4"/>
      <c r="W14" s="4">
        <v>300000</v>
      </c>
      <c r="X14" s="4"/>
      <c r="Y14" s="4"/>
      <c r="Z14" s="4"/>
      <c r="AA14" s="4"/>
      <c r="AB14" s="3" t="s">
        <v>927</v>
      </c>
      <c r="AC14" s="3">
        <v>826000</v>
      </c>
      <c r="AD14" s="462"/>
      <c r="AE14" s="462"/>
      <c r="AF14" s="462"/>
      <c r="AG14" s="462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</row>
    <row r="15" spans="1:52" s="6" customFormat="1" ht="45" customHeight="1">
      <c r="A15" s="7">
        <f>A14</f>
        <v>10</v>
      </c>
      <c r="B15" s="29"/>
      <c r="C15" s="159" t="s">
        <v>342</v>
      </c>
      <c r="D15" s="8">
        <v>23908365</v>
      </c>
      <c r="E15" s="8">
        <v>21311365</v>
      </c>
      <c r="F15" s="8">
        <v>2597000</v>
      </c>
      <c r="G15" s="8">
        <v>18255365</v>
      </c>
      <c r="H15" s="8">
        <v>16004642</v>
      </c>
      <c r="I15" s="8">
        <v>0</v>
      </c>
      <c r="J15" s="8">
        <v>1497947</v>
      </c>
      <c r="K15" s="8">
        <v>1497947</v>
      </c>
      <c r="L15" s="8">
        <v>17502589</v>
      </c>
      <c r="M15" s="8">
        <v>1667776</v>
      </c>
      <c r="N15" s="8">
        <v>3117000</v>
      </c>
      <c r="O15" s="8">
        <v>1621000</v>
      </c>
      <c r="P15" s="8">
        <v>752776</v>
      </c>
      <c r="Q15" s="8">
        <v>700000</v>
      </c>
      <c r="R15" s="8">
        <v>215000</v>
      </c>
      <c r="S15" s="8">
        <v>915000</v>
      </c>
      <c r="T15" s="8">
        <v>0</v>
      </c>
      <c r="U15" s="8">
        <v>3117000</v>
      </c>
      <c r="V15" s="8">
        <v>0</v>
      </c>
      <c r="W15" s="8">
        <v>3117000</v>
      </c>
      <c r="X15" s="8">
        <f t="shared" ref="X15:AA15" si="1">SUM(X5:X14)</f>
        <v>0</v>
      </c>
      <c r="Y15" s="8">
        <f t="shared" si="1"/>
        <v>0</v>
      </c>
      <c r="Z15" s="8">
        <f t="shared" si="1"/>
        <v>0</v>
      </c>
      <c r="AA15" s="8">
        <f t="shared" si="1"/>
        <v>0</v>
      </c>
      <c r="AB15" s="7"/>
      <c r="AC15" s="7"/>
      <c r="AD15" s="462"/>
      <c r="AE15" s="462"/>
      <c r="AF15" s="462"/>
      <c r="AG15" s="462"/>
      <c r="AH15" s="463"/>
      <c r="AI15" s="463"/>
      <c r="AJ15" s="463"/>
      <c r="AK15" s="463"/>
      <c r="AL15" s="463"/>
      <c r="AM15" s="463"/>
      <c r="AN15" s="463"/>
      <c r="AO15" s="463"/>
      <c r="AP15" s="463"/>
      <c r="AQ15" s="463"/>
      <c r="AR15" s="463"/>
      <c r="AS15" s="463"/>
      <c r="AT15" s="463"/>
      <c r="AU15" s="463"/>
      <c r="AV15" s="463"/>
      <c r="AW15" s="463"/>
      <c r="AX15" s="463"/>
      <c r="AY15" s="463"/>
      <c r="AZ15" s="463"/>
    </row>
    <row r="16" spans="1:52" s="26" customFormat="1">
      <c r="B16" s="11"/>
      <c r="C16" s="1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1"/>
      <c r="V16" s="11"/>
      <c r="W16" s="11"/>
      <c r="X16" s="11"/>
      <c r="Y16" s="11"/>
      <c r="Z16" s="11"/>
      <c r="AA16" s="11"/>
      <c r="AC16" s="11"/>
      <c r="AD16" s="462"/>
      <c r="AE16" s="462"/>
      <c r="AF16" s="462"/>
      <c r="AG16" s="462"/>
      <c r="AH16" s="462"/>
      <c r="AI16" s="462"/>
      <c r="AJ16" s="462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</row>
    <row r="17" spans="2:52" s="26" customFormat="1">
      <c r="B17" s="11"/>
      <c r="C17" s="11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1"/>
      <c r="V17" s="11"/>
      <c r="W17" s="11"/>
      <c r="X17" s="11"/>
      <c r="Y17" s="11"/>
      <c r="Z17" s="11"/>
      <c r="AA17" s="11"/>
      <c r="AC17" s="11"/>
      <c r="AD17" s="462"/>
      <c r="AE17" s="462"/>
      <c r="AF17" s="462"/>
      <c r="AG17" s="462"/>
      <c r="AH17" s="462"/>
      <c r="AI17" s="462"/>
      <c r="AJ17" s="462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2:52" s="26" customFormat="1">
      <c r="B18" s="11"/>
      <c r="C18" s="11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S18" s="13"/>
      <c r="T18" s="13"/>
      <c r="U18" s="11"/>
      <c r="V18" s="11"/>
      <c r="W18" s="11"/>
      <c r="X18" s="11"/>
      <c r="Y18" s="11"/>
      <c r="Z18" s="11"/>
      <c r="AA18" s="11"/>
      <c r="AC18" s="11"/>
      <c r="AD18" s="462"/>
      <c r="AE18" s="462"/>
      <c r="AF18" s="462"/>
      <c r="AG18" s="462"/>
      <c r="AH18" s="462"/>
      <c r="AI18" s="462"/>
      <c r="AJ18" s="462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</row>
  </sheetData>
  <sheetProtection formatCells="0" formatColumns="0" formatRows="0" insertColumns="0" insertRows="0" insertHyperlinks="0" deleteColumns="0" deleteRows="0" sort="0" autoFilter="0" pivotTables="0"/>
  <conditionalFormatting sqref="A1:A2 AJ1:XFD2 AJ3:AJ13 AH1:AI13 AH16:AJ1048576 AD1:AG1048576">
    <cfRule type="cellIs" dxfId="124" priority="3" operator="equal">
      <formula>0</formula>
    </cfRule>
  </conditionalFormatting>
  <conditionalFormatting sqref="AI1:AI2">
    <cfRule type="cellIs" dxfId="123" priority="2" operator="equal">
      <formula>0</formula>
    </cfRule>
  </conditionalFormatting>
  <conditionalFormatting sqref="AH1:AH2">
    <cfRule type="cellIs" dxfId="122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3"/>
  <sheetViews>
    <sheetView showZeros="0" rightToLeft="1" tabSelected="1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34.88671875" style="191" customWidth="1"/>
    <col min="5" max="5" width="30.44140625" style="191" customWidth="1"/>
    <col min="6" max="6" width="10.88671875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3" spans="1:17" ht="21">
      <c r="A3" s="190"/>
      <c r="C3" s="192" t="s">
        <v>241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1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21">
      <c r="A5" s="190"/>
      <c r="C5" s="192"/>
      <c r="D5" s="190"/>
      <c r="E5" s="190"/>
      <c r="F5" s="190"/>
      <c r="G5" s="190"/>
      <c r="H5" s="190"/>
      <c r="I5" s="190"/>
      <c r="J5" s="190"/>
      <c r="K5" s="190"/>
      <c r="L5" s="190"/>
    </row>
    <row r="6" spans="1:17" ht="21.6" thickBot="1">
      <c r="A6" s="190"/>
      <c r="C6" s="192"/>
      <c r="D6" s="190"/>
      <c r="E6" s="190"/>
      <c r="F6" s="190"/>
      <c r="G6" s="190"/>
      <c r="H6" s="190"/>
      <c r="I6" s="190"/>
      <c r="J6" s="190"/>
      <c r="K6" s="190"/>
      <c r="L6" s="190"/>
    </row>
    <row r="7" spans="1:17" ht="16.2" thickBot="1">
      <c r="A7" s="190"/>
      <c r="B7" s="193" t="s">
        <v>136</v>
      </c>
      <c r="C7" s="190" t="s">
        <v>1262</v>
      </c>
      <c r="D7" s="190"/>
      <c r="E7" s="190"/>
      <c r="F7" s="194">
        <v>1600000</v>
      </c>
      <c r="I7" s="190"/>
      <c r="J7" s="190"/>
      <c r="K7" s="190"/>
      <c r="L7" s="190"/>
    </row>
    <row r="8" spans="1:17" ht="21.6" thickBot="1">
      <c r="A8" s="190"/>
      <c r="C8" s="192"/>
      <c r="D8" s="190"/>
      <c r="E8" s="190"/>
      <c r="F8" s="190"/>
      <c r="H8" s="190"/>
      <c r="I8" s="190"/>
      <c r="J8" s="190"/>
      <c r="K8" s="190"/>
      <c r="L8" s="190"/>
    </row>
    <row r="9" spans="1:17" ht="16.2" thickBot="1">
      <c r="B9" s="193" t="s">
        <v>136</v>
      </c>
      <c r="C9" s="190" t="s">
        <v>1442</v>
      </c>
      <c r="D9" s="190"/>
      <c r="F9" s="202">
        <v>2</v>
      </c>
      <c r="I9" s="190"/>
      <c r="J9" s="190"/>
      <c r="K9" s="190"/>
      <c r="L9" s="190"/>
      <c r="M9" s="190"/>
      <c r="N9" s="190"/>
      <c r="O9" s="190"/>
      <c r="P9" s="190"/>
      <c r="Q9" s="190"/>
    </row>
    <row r="10" spans="1:17" ht="15.6">
      <c r="B10" s="193"/>
      <c r="C10" s="190"/>
      <c r="D10" s="190"/>
      <c r="F10" s="196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B11" s="193"/>
      <c r="C11" s="190"/>
      <c r="D11" s="190"/>
      <c r="F11" s="196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>
      <c r="B12" s="193" t="s">
        <v>136</v>
      </c>
      <c r="C12" s="190" t="s">
        <v>231</v>
      </c>
      <c r="D12" s="190"/>
      <c r="E12" s="190"/>
      <c r="F12" s="190"/>
      <c r="G12" s="190"/>
      <c r="H12" s="190"/>
      <c r="I12" s="190"/>
      <c r="J12" s="190"/>
      <c r="K12" s="190"/>
      <c r="L12" s="190"/>
    </row>
    <row r="13" spans="1:17" ht="16.2" thickBot="1"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7" ht="15.6">
      <c r="D14" s="203" t="s">
        <v>232</v>
      </c>
      <c r="E14" s="204" t="s">
        <v>233</v>
      </c>
      <c r="F14" s="205" t="s">
        <v>234</v>
      </c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6">
      <c r="C15" s="193"/>
      <c r="D15" s="197" t="s">
        <v>13</v>
      </c>
      <c r="E15" s="206">
        <v>859101</v>
      </c>
      <c r="F15" s="214">
        <v>0.53693812500000004</v>
      </c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</row>
    <row r="16" spans="1:17" ht="15.6">
      <c r="C16" s="193"/>
      <c r="D16" s="197" t="s">
        <v>79</v>
      </c>
      <c r="E16" s="206">
        <v>740899</v>
      </c>
      <c r="F16" s="214">
        <v>0.46306187500000001</v>
      </c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2:17" ht="16.2" thickBot="1">
      <c r="C17" s="193"/>
      <c r="D17" s="200" t="s">
        <v>88</v>
      </c>
      <c r="E17" s="208">
        <v>1600000</v>
      </c>
      <c r="F17" s="130">
        <v>1</v>
      </c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2:17" ht="15.6">
      <c r="C18" s="193"/>
      <c r="D18" s="196"/>
      <c r="E18" s="217"/>
      <c r="F18" s="218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2:17" ht="15.6">
      <c r="C19" s="193"/>
      <c r="D19" s="196"/>
      <c r="E19" s="217"/>
      <c r="F19" s="218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2:17" ht="15.6">
      <c r="B20" s="193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2:17" ht="15.6">
      <c r="B21" s="193" t="s">
        <v>136</v>
      </c>
      <c r="C21" s="190" t="s">
        <v>1263</v>
      </c>
      <c r="D21" s="190"/>
      <c r="F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</row>
    <row r="22" spans="2:17" ht="15.6">
      <c r="C22" s="190"/>
      <c r="D22" s="190"/>
      <c r="E22" s="190"/>
      <c r="F22" s="190"/>
      <c r="H22" s="190"/>
      <c r="I22" s="190"/>
      <c r="J22" s="190"/>
      <c r="K22" s="190"/>
      <c r="L22" s="190"/>
    </row>
    <row r="23" spans="2:17" ht="15.6">
      <c r="B23" s="193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showZeros="0" rightToLeft="1" tabSelected="1" zoomScaleNormal="100" workbookViewId="0">
      <pane xSplit="3" ySplit="4" topLeftCell="D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8"/>
  <cols>
    <col min="1" max="1" width="3.77734375" style="237" customWidth="1"/>
    <col min="2" max="2" width="5.77734375" style="147" customWidth="1"/>
    <col min="3" max="3" width="21.6640625" style="147" customWidth="1"/>
    <col min="4" max="6" width="9.77734375" style="148" customWidth="1"/>
    <col min="7" max="11" width="9.6640625" style="148" hidden="1" customWidth="1"/>
    <col min="12" max="15" width="9.77734375" style="148" customWidth="1"/>
    <col min="16" max="19" width="9.6640625" style="148" hidden="1" customWidth="1"/>
    <col min="20" max="20" width="9.77734375" style="148" customWidth="1"/>
    <col min="21" max="22" width="9.77734375" style="147" customWidth="1"/>
    <col min="23" max="26" width="9.6640625" style="147" hidden="1" customWidth="1"/>
    <col min="27" max="27" width="9.77734375" style="147" customWidth="1"/>
    <col min="28" max="28" width="29.5546875" style="147" customWidth="1"/>
    <col min="29" max="29" width="9.6640625" style="147" hidden="1" customWidth="1"/>
    <col min="30" max="32" width="22" style="331" customWidth="1"/>
    <col min="33" max="33" width="24.33203125" style="235" customWidth="1"/>
    <col min="34" max="16384" width="9.109375" style="147"/>
  </cols>
  <sheetData>
    <row r="1" spans="1:33" s="235" customForma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52"/>
      <c r="Y1" s="252"/>
      <c r="Z1" s="252"/>
      <c r="AD1" s="331"/>
      <c r="AE1" s="331"/>
      <c r="AF1" s="331"/>
    </row>
    <row r="2" spans="1:33">
      <c r="A2" s="234" t="s">
        <v>97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3" spans="1:33" ht="24" customHeight="1"/>
    <row r="4" spans="1:33" s="239" customFormat="1" ht="86.25" customHeight="1">
      <c r="A4" s="150" t="s">
        <v>0</v>
      </c>
      <c r="B4" s="150" t="s">
        <v>1</v>
      </c>
      <c r="C4" s="150" t="s">
        <v>2</v>
      </c>
      <c r="D4" s="150" t="s">
        <v>3</v>
      </c>
      <c r="E4" s="150" t="s">
        <v>4</v>
      </c>
      <c r="F4" s="150" t="s">
        <v>5</v>
      </c>
      <c r="G4" s="150" t="s">
        <v>6</v>
      </c>
      <c r="H4" s="150" t="s">
        <v>7</v>
      </c>
      <c r="I4" s="150" t="s">
        <v>9</v>
      </c>
      <c r="J4" s="150" t="s">
        <v>132</v>
      </c>
      <c r="K4" s="150" t="s">
        <v>10</v>
      </c>
      <c r="L4" s="150" t="s">
        <v>11</v>
      </c>
      <c r="M4" s="150" t="s">
        <v>875</v>
      </c>
      <c r="N4" s="150" t="s">
        <v>876</v>
      </c>
      <c r="O4" s="9" t="s">
        <v>877</v>
      </c>
      <c r="P4" s="9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150" t="s">
        <v>13</v>
      </c>
      <c r="W4" s="150" t="s">
        <v>14</v>
      </c>
      <c r="X4" s="150" t="s">
        <v>15</v>
      </c>
      <c r="Y4" s="150" t="s">
        <v>225</v>
      </c>
      <c r="Z4" s="150" t="s">
        <v>575</v>
      </c>
      <c r="AA4" s="150" t="s">
        <v>79</v>
      </c>
      <c r="AB4" s="15" t="s">
        <v>257</v>
      </c>
      <c r="AC4" s="150" t="s">
        <v>16</v>
      </c>
      <c r="AD4" s="331"/>
      <c r="AE4" s="331"/>
      <c r="AF4" s="331"/>
      <c r="AG4" s="235"/>
    </row>
    <row r="5" spans="1:33" s="158" customFormat="1" ht="45" customHeight="1">
      <c r="A5" s="153">
        <v>1</v>
      </c>
      <c r="B5" s="153">
        <v>1519</v>
      </c>
      <c r="C5" s="153" t="s">
        <v>77</v>
      </c>
      <c r="D5" s="154">
        <v>8493000</v>
      </c>
      <c r="E5" s="154">
        <v>8493000</v>
      </c>
      <c r="F5" s="154">
        <v>0</v>
      </c>
      <c r="G5" s="154">
        <v>3451068</v>
      </c>
      <c r="H5" s="154">
        <v>3440609</v>
      </c>
      <c r="I5" s="154">
        <v>0</v>
      </c>
      <c r="J5" s="154">
        <v>0</v>
      </c>
      <c r="K5" s="154">
        <v>0</v>
      </c>
      <c r="L5" s="154">
        <v>3440609</v>
      </c>
      <c r="M5" s="154">
        <v>10459</v>
      </c>
      <c r="N5" s="154">
        <v>1600000</v>
      </c>
      <c r="O5" s="154">
        <v>3441932</v>
      </c>
      <c r="P5" s="154">
        <v>10459</v>
      </c>
      <c r="Q5" s="154"/>
      <c r="R5" s="154"/>
      <c r="S5" s="154">
        <v>0</v>
      </c>
      <c r="T5" s="154">
        <v>0</v>
      </c>
      <c r="U5" s="476">
        <v>1600000</v>
      </c>
      <c r="V5" s="154">
        <v>859101</v>
      </c>
      <c r="W5" s="154"/>
      <c r="X5" s="154"/>
      <c r="Y5" s="154"/>
      <c r="Z5" s="154"/>
      <c r="AA5" s="154">
        <v>740899</v>
      </c>
      <c r="AB5" s="153" t="s">
        <v>766</v>
      </c>
      <c r="AC5" s="153">
        <v>732000</v>
      </c>
      <c r="AD5" s="331"/>
      <c r="AE5" s="331"/>
      <c r="AF5" s="331"/>
      <c r="AG5" s="235"/>
    </row>
    <row r="6" spans="1:33" s="157" customFormat="1" ht="45" customHeight="1">
      <c r="A6" s="153">
        <f>A5+1</f>
        <v>2</v>
      </c>
      <c r="B6" s="153">
        <v>1867</v>
      </c>
      <c r="C6" s="153" t="s">
        <v>117</v>
      </c>
      <c r="D6" s="154">
        <v>570000</v>
      </c>
      <c r="E6" s="154">
        <v>1520000</v>
      </c>
      <c r="F6" s="154">
        <v>-950000</v>
      </c>
      <c r="G6" s="154">
        <v>570000</v>
      </c>
      <c r="H6" s="154">
        <v>369131</v>
      </c>
      <c r="I6" s="154">
        <v>0</v>
      </c>
      <c r="J6" s="154">
        <v>0</v>
      </c>
      <c r="K6" s="154">
        <v>0</v>
      </c>
      <c r="L6" s="154">
        <v>369131</v>
      </c>
      <c r="M6" s="154">
        <v>200869</v>
      </c>
      <c r="N6" s="154"/>
      <c r="O6" s="154">
        <v>0</v>
      </c>
      <c r="P6" s="154">
        <v>200869</v>
      </c>
      <c r="Q6" s="154"/>
      <c r="R6" s="154"/>
      <c r="S6" s="154">
        <v>0</v>
      </c>
      <c r="T6" s="154">
        <v>0</v>
      </c>
      <c r="U6" s="476">
        <v>0</v>
      </c>
      <c r="V6" s="154">
        <v>0</v>
      </c>
      <c r="W6" s="154"/>
      <c r="X6" s="154"/>
      <c r="Y6" s="154"/>
      <c r="Z6" s="154"/>
      <c r="AA6" s="154">
        <v>0</v>
      </c>
      <c r="AB6" s="153" t="s">
        <v>1235</v>
      </c>
      <c r="AC6" s="153">
        <v>732000</v>
      </c>
      <c r="AD6" s="331"/>
      <c r="AE6" s="331"/>
      <c r="AF6" s="331"/>
      <c r="AG6" s="235"/>
    </row>
    <row r="7" spans="1:33" s="331" customFormat="1" ht="45" customHeight="1">
      <c r="A7" s="270">
        <f>A6</f>
        <v>2</v>
      </c>
      <c r="B7" s="270"/>
      <c r="C7" s="29" t="s">
        <v>223</v>
      </c>
      <c r="D7" s="330">
        <v>9063000</v>
      </c>
      <c r="E7" s="330">
        <v>10013000</v>
      </c>
      <c r="F7" s="330">
        <v>-950000</v>
      </c>
      <c r="G7" s="330">
        <v>4021068</v>
      </c>
      <c r="H7" s="330">
        <v>3809740</v>
      </c>
      <c r="I7" s="330">
        <v>0</v>
      </c>
      <c r="J7" s="330">
        <v>0</v>
      </c>
      <c r="K7" s="330">
        <v>0</v>
      </c>
      <c r="L7" s="330">
        <v>3809740</v>
      </c>
      <c r="M7" s="330">
        <v>211328</v>
      </c>
      <c r="N7" s="330">
        <v>1600000</v>
      </c>
      <c r="O7" s="330">
        <v>3441932</v>
      </c>
      <c r="P7" s="330">
        <v>211328</v>
      </c>
      <c r="Q7" s="330">
        <v>0</v>
      </c>
      <c r="R7" s="330">
        <v>0</v>
      </c>
      <c r="S7" s="330">
        <v>0</v>
      </c>
      <c r="T7" s="330">
        <v>0</v>
      </c>
      <c r="U7" s="330">
        <v>1600000</v>
      </c>
      <c r="V7" s="330">
        <v>859101</v>
      </c>
      <c r="W7" s="330">
        <v>0</v>
      </c>
      <c r="X7" s="330">
        <v>0</v>
      </c>
      <c r="Y7" s="330">
        <v>0</v>
      </c>
      <c r="Z7" s="330">
        <v>0</v>
      </c>
      <c r="AA7" s="330">
        <v>740899</v>
      </c>
      <c r="AB7" s="330"/>
      <c r="AC7" s="270"/>
    </row>
    <row r="8" spans="1:33" s="269" customFormat="1">
      <c r="A8" s="593"/>
      <c r="D8" s="594"/>
      <c r="E8" s="594"/>
      <c r="F8" s="594"/>
      <c r="G8" s="594"/>
      <c r="H8" s="594"/>
      <c r="I8" s="594"/>
      <c r="J8" s="594"/>
      <c r="K8" s="594"/>
      <c r="L8" s="594"/>
      <c r="M8" s="594"/>
      <c r="N8" s="594"/>
      <c r="O8" s="594"/>
      <c r="P8" s="594">
        <f>G7-L7</f>
        <v>211328</v>
      </c>
      <c r="Q8" s="594"/>
      <c r="R8" s="594"/>
      <c r="S8" s="594"/>
      <c r="T8" s="594">
        <f>P8+S7-M7</f>
        <v>0</v>
      </c>
      <c r="AD8" s="331"/>
      <c r="AE8" s="331"/>
      <c r="AF8" s="331"/>
      <c r="AG8" s="595"/>
    </row>
    <row r="9" spans="1:33">
      <c r="C9" s="432"/>
    </row>
  </sheetData>
  <sheetProtection formatCells="0" formatColumns="0" formatRows="0" insertColumns="0" insertRows="0" insertHyperlinks="0" deleteColumns="0" deleteRows="0" sort="0" autoFilter="0" pivotTables="0"/>
  <conditionalFormatting sqref="U5:U6">
    <cfRule type="cellIs" dxfId="12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4"/>
  <sheetViews>
    <sheetView showZeros="0" rightToLeft="1" tabSelected="1" topLeftCell="A7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34.88671875" style="191" customWidth="1"/>
    <col min="5" max="5" width="30.44140625" style="191" customWidth="1"/>
    <col min="6" max="6" width="10.88671875" style="191" customWidth="1"/>
    <col min="7" max="7" width="5.5546875" style="191" customWidth="1"/>
    <col min="8" max="9" width="12.109375" style="191" customWidth="1"/>
    <col min="10" max="10" width="7.88671875" style="191" customWidth="1"/>
    <col min="11" max="16384" width="9.109375" style="191"/>
  </cols>
  <sheetData>
    <row r="3" spans="1:17" ht="21">
      <c r="A3" s="190"/>
      <c r="C3" s="192" t="s">
        <v>244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1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21">
      <c r="A5" s="190"/>
      <c r="C5" s="192"/>
      <c r="D5" s="190"/>
      <c r="E5" s="190"/>
      <c r="F5" s="190"/>
      <c r="G5" s="190"/>
      <c r="H5" s="190"/>
      <c r="I5" s="190"/>
      <c r="J5" s="190"/>
      <c r="K5" s="190"/>
      <c r="L5" s="190"/>
    </row>
    <row r="6" spans="1:17" ht="21.6" thickBot="1">
      <c r="A6" s="190"/>
      <c r="C6" s="192"/>
      <c r="D6" s="190"/>
      <c r="E6" s="190"/>
      <c r="F6" s="190"/>
      <c r="G6" s="190"/>
      <c r="H6" s="190"/>
      <c r="I6" s="190"/>
      <c r="J6" s="190"/>
      <c r="K6" s="190"/>
      <c r="L6" s="190"/>
    </row>
    <row r="7" spans="1:17" ht="16.2" thickBot="1">
      <c r="A7" s="190"/>
      <c r="B7" s="193" t="s">
        <v>136</v>
      </c>
      <c r="C7" s="190" t="s">
        <v>1441</v>
      </c>
      <c r="D7" s="190"/>
      <c r="E7" s="190"/>
      <c r="F7" s="194">
        <v>14166000</v>
      </c>
      <c r="I7" s="190"/>
      <c r="J7" s="190"/>
      <c r="K7" s="190"/>
      <c r="L7" s="190"/>
    </row>
    <row r="8" spans="1:17" ht="21.6" thickBot="1">
      <c r="A8" s="190"/>
      <c r="C8" s="192"/>
      <c r="D8" s="190"/>
      <c r="E8" s="190"/>
      <c r="F8" s="190"/>
      <c r="H8" s="190"/>
      <c r="I8" s="190"/>
      <c r="J8" s="190"/>
      <c r="K8" s="190"/>
      <c r="L8" s="190"/>
    </row>
    <row r="9" spans="1:17" ht="16.2" thickBot="1">
      <c r="B9" s="193" t="s">
        <v>136</v>
      </c>
      <c r="C9" s="190" t="s">
        <v>1443</v>
      </c>
      <c r="D9" s="190"/>
      <c r="F9" s="202">
        <v>12</v>
      </c>
      <c r="I9" s="190"/>
      <c r="J9" s="190"/>
      <c r="K9" s="190"/>
      <c r="L9" s="190"/>
      <c r="M9" s="190"/>
      <c r="N9" s="190"/>
      <c r="O9" s="190"/>
      <c r="P9" s="190"/>
      <c r="Q9" s="190"/>
    </row>
    <row r="10" spans="1:17" ht="15.6">
      <c r="B10" s="193"/>
      <c r="C10" s="190"/>
      <c r="D10" s="190"/>
      <c r="F10" s="196"/>
      <c r="I10" s="190"/>
      <c r="J10" s="190"/>
      <c r="K10" s="190"/>
      <c r="L10" s="190"/>
      <c r="M10" s="190"/>
      <c r="N10" s="190"/>
      <c r="O10" s="190"/>
      <c r="P10" s="190"/>
      <c r="Q10" s="190"/>
    </row>
    <row r="11" spans="1:17" ht="15.6">
      <c r="B11" s="193"/>
      <c r="C11" s="190"/>
      <c r="D11" s="190"/>
      <c r="F11" s="196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15.6">
      <c r="B12" s="193" t="s">
        <v>136</v>
      </c>
      <c r="C12" s="190" t="s">
        <v>231</v>
      </c>
      <c r="D12" s="190"/>
      <c r="E12" s="190"/>
      <c r="F12" s="190"/>
      <c r="G12" s="190"/>
      <c r="H12" s="190"/>
      <c r="I12" s="190"/>
      <c r="J12" s="190"/>
      <c r="K12" s="190"/>
      <c r="L12" s="190"/>
    </row>
    <row r="13" spans="1:17" ht="16.2" thickBot="1"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7" ht="15.6">
      <c r="D14" s="203" t="s">
        <v>232</v>
      </c>
      <c r="E14" s="204" t="s">
        <v>233</v>
      </c>
      <c r="F14" s="205" t="s">
        <v>234</v>
      </c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6" hidden="1">
      <c r="C15" s="193"/>
      <c r="D15" s="197" t="s">
        <v>13</v>
      </c>
      <c r="E15" s="206" t="e">
        <f>#REF!</f>
        <v>#REF!</v>
      </c>
      <c r="F15" s="214" t="e">
        <f>E15/$E$18</f>
        <v>#REF!</v>
      </c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</row>
    <row r="16" spans="1:17" ht="15.6">
      <c r="C16" s="193"/>
      <c r="D16" s="197" t="s">
        <v>14</v>
      </c>
      <c r="E16" s="206">
        <v>13166000</v>
      </c>
      <c r="F16" s="214">
        <v>0.92940844275024703</v>
      </c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1:17" ht="15.6">
      <c r="C17" s="193"/>
      <c r="D17" s="197" t="s">
        <v>79</v>
      </c>
      <c r="E17" s="268">
        <v>1000000</v>
      </c>
      <c r="F17" s="214">
        <v>7.0591557249752926E-2</v>
      </c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1:17" ht="16.2" thickBot="1">
      <c r="C18" s="193"/>
      <c r="D18" s="200" t="s">
        <v>88</v>
      </c>
      <c r="E18" s="271">
        <v>14166000</v>
      </c>
      <c r="F18" s="280">
        <v>1</v>
      </c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1:17" ht="15.6">
      <c r="B19" s="193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7" ht="15.6">
      <c r="B20" s="193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7" ht="15.6">
      <c r="B21" s="193" t="s">
        <v>136</v>
      </c>
      <c r="C21" s="190" t="s">
        <v>1247</v>
      </c>
      <c r="D21" s="190"/>
      <c r="F21" s="190"/>
      <c r="H21" s="199"/>
      <c r="I21" s="190"/>
      <c r="J21" s="190"/>
      <c r="K21" s="190"/>
      <c r="L21" s="190"/>
      <c r="M21" s="190"/>
      <c r="N21" s="190"/>
      <c r="O21" s="190"/>
      <c r="P21" s="190"/>
      <c r="Q21" s="190"/>
    </row>
    <row r="22" spans="1:17" ht="15.6">
      <c r="C22" s="190"/>
      <c r="D22" s="190" t="s">
        <v>248</v>
      </c>
      <c r="E22" s="190"/>
      <c r="F22" s="190"/>
      <c r="H22" s="190"/>
      <c r="I22" s="190"/>
      <c r="J22" s="190"/>
      <c r="K22" s="190"/>
      <c r="L22" s="190"/>
    </row>
    <row r="23" spans="1:17" ht="15.6">
      <c r="B23" s="193"/>
      <c r="C23" s="190"/>
      <c r="D23" s="190" t="s">
        <v>346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</row>
    <row r="24" spans="1:17" ht="15.6">
      <c r="B24" s="193"/>
      <c r="C24" s="190"/>
      <c r="D24" s="190" t="s">
        <v>1264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</row>
    <row r="25" spans="1:17" s="263" customFormat="1" ht="15.6">
      <c r="C25" s="265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263" customFormat="1" ht="15.6">
      <c r="C26" s="265" t="s">
        <v>136</v>
      </c>
      <c r="D26" s="262" t="s">
        <v>606</v>
      </c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263" customFormat="1" ht="15.6">
      <c r="C27" s="265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263" customFormat="1" ht="15.6">
      <c r="A28" s="262"/>
      <c r="B28" s="262"/>
      <c r="C28" s="262"/>
      <c r="D28" s="658" t="s">
        <v>1527</v>
      </c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263" customFormat="1" ht="15.6">
      <c r="A29" s="262"/>
      <c r="B29" s="262"/>
      <c r="C29" s="262"/>
      <c r="D29" s="659" t="s">
        <v>1526</v>
      </c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263" customFormat="1" ht="15.6">
      <c r="C30" s="265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263" customFormat="1" ht="15.6">
      <c r="A31" s="262"/>
      <c r="B31" s="262"/>
      <c r="C31" s="262"/>
      <c r="D31" s="32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263" customFormat="1" ht="15.6">
      <c r="C32" s="265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4" spans="1:17" ht="15.6">
      <c r="A34" s="190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7"/>
  <sheetViews>
    <sheetView showZeros="0" rightToLeft="1" tabSelected="1" workbookViewId="0">
      <pane xSplit="5" ySplit="4" topLeftCell="F8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.33203125" defaultRowHeight="13.2"/>
  <cols>
    <col min="1" max="1" width="3.77734375" style="184" customWidth="1"/>
    <col min="2" max="2" width="5.77734375" style="184" customWidth="1"/>
    <col min="3" max="3" width="17.6640625" style="184" customWidth="1"/>
    <col min="4" max="5" width="9.77734375" style="184" customWidth="1"/>
    <col min="6" max="6" width="8.77734375" style="184" customWidth="1"/>
    <col min="7" max="7" width="14" style="184" hidden="1" customWidth="1"/>
    <col min="8" max="8" width="13" style="184" hidden="1" customWidth="1"/>
    <col min="9" max="9" width="9.109375" style="184" hidden="1" customWidth="1"/>
    <col min="10" max="10" width="10.5546875" style="184" hidden="1" customWidth="1"/>
    <col min="11" max="11" width="10" style="184" hidden="1" customWidth="1"/>
    <col min="12" max="12" width="9.77734375" style="184" customWidth="1"/>
    <col min="13" max="13" width="8.77734375" style="184" customWidth="1"/>
    <col min="14" max="14" width="9.77734375" style="184" customWidth="1"/>
    <col min="15" max="15" width="8.77734375" style="184" customWidth="1"/>
    <col min="16" max="19" width="9.109375" style="184" hidden="1" customWidth="1"/>
    <col min="20" max="20" width="8.77734375" style="184" customWidth="1"/>
    <col min="21" max="21" width="9.77734375" style="184" customWidth="1"/>
    <col min="22" max="22" width="9.109375" style="184" customWidth="1"/>
    <col min="23" max="23" width="9.77734375" style="184" customWidth="1"/>
    <col min="24" max="26" width="8.33203125" style="184" hidden="1" customWidth="1"/>
    <col min="27" max="27" width="8.77734375" style="184" customWidth="1"/>
    <col min="28" max="28" width="33.33203125" style="184" customWidth="1"/>
    <col min="29" max="29" width="8.33203125" style="184" hidden="1" customWidth="1"/>
    <col min="30" max="30" width="22.109375" style="184" customWidth="1"/>
    <col min="31" max="33" width="20.33203125" style="184" customWidth="1"/>
    <col min="34" max="34" width="8.6640625" style="184" customWidth="1"/>
    <col min="35" max="35" width="21.5546875" style="184" customWidth="1"/>
    <col min="36" max="36" width="14.109375" style="184" customWidth="1"/>
    <col min="37" max="16384" width="8.33203125" style="184"/>
  </cols>
  <sheetData>
    <row r="1" spans="1:53" ht="18">
      <c r="A1" s="464"/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O1" s="464"/>
      <c r="P1" s="464"/>
      <c r="Q1" s="464"/>
      <c r="R1" s="464"/>
      <c r="S1" s="464"/>
      <c r="T1" s="464"/>
      <c r="U1" s="464"/>
      <c r="V1" s="464"/>
      <c r="W1" s="464"/>
      <c r="X1" s="465"/>
      <c r="Y1" s="465"/>
      <c r="Z1" s="465"/>
      <c r="AA1" s="466"/>
      <c r="AB1" s="467"/>
      <c r="AC1" s="466"/>
    </row>
    <row r="2" spans="1:53" ht="18">
      <c r="A2" s="464" t="s">
        <v>322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8"/>
      <c r="Y2" s="468"/>
      <c r="Z2" s="468"/>
      <c r="AA2" s="468"/>
      <c r="AB2" s="469"/>
      <c r="AC2" s="468"/>
    </row>
    <row r="3" spans="1:53" ht="13.8">
      <c r="A3" s="470"/>
      <c r="B3" s="468"/>
      <c r="C3" s="468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68"/>
      <c r="V3" s="468"/>
      <c r="W3" s="468"/>
      <c r="X3" s="468"/>
      <c r="Y3" s="468"/>
      <c r="Z3" s="468"/>
      <c r="AA3" s="468"/>
      <c r="AB3" s="470"/>
      <c r="AC3" s="468"/>
    </row>
    <row r="4" spans="1:53" ht="73.5" customHeight="1">
      <c r="A4" s="144" t="s">
        <v>0</v>
      </c>
      <c r="B4" s="472" t="s">
        <v>461</v>
      </c>
      <c r="C4" s="472" t="s">
        <v>2</v>
      </c>
      <c r="D4" s="472" t="s">
        <v>928</v>
      </c>
      <c r="E4" s="472" t="s">
        <v>4</v>
      </c>
      <c r="F4" s="472" t="s">
        <v>5</v>
      </c>
      <c r="G4" s="472" t="s">
        <v>6</v>
      </c>
      <c r="H4" s="472" t="s">
        <v>7</v>
      </c>
      <c r="I4" s="472" t="s">
        <v>9</v>
      </c>
      <c r="J4" s="472" t="s">
        <v>132</v>
      </c>
      <c r="K4" s="472" t="s">
        <v>10</v>
      </c>
      <c r="L4" s="472" t="s">
        <v>11</v>
      </c>
      <c r="M4" s="472" t="s">
        <v>875</v>
      </c>
      <c r="N4" s="472" t="s">
        <v>876</v>
      </c>
      <c r="O4" s="9" t="s">
        <v>877</v>
      </c>
      <c r="P4" s="9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472" t="s">
        <v>13</v>
      </c>
      <c r="W4" s="472" t="s">
        <v>14</v>
      </c>
      <c r="X4" s="472" t="s">
        <v>15</v>
      </c>
      <c r="Y4" s="472" t="s">
        <v>225</v>
      </c>
      <c r="Z4" s="472" t="s">
        <v>575</v>
      </c>
      <c r="AA4" s="472" t="s">
        <v>79</v>
      </c>
      <c r="AB4" s="473" t="s">
        <v>257</v>
      </c>
      <c r="AC4" s="472" t="s">
        <v>16</v>
      </c>
    </row>
    <row r="5" spans="1:53" ht="45" customHeight="1">
      <c r="A5" s="474">
        <v>1</v>
      </c>
      <c r="B5" s="474">
        <v>1002</v>
      </c>
      <c r="C5" s="474" t="s">
        <v>119</v>
      </c>
      <c r="D5" s="475">
        <v>3290000</v>
      </c>
      <c r="E5" s="475">
        <v>3290000</v>
      </c>
      <c r="F5" s="475">
        <v>0</v>
      </c>
      <c r="G5" s="475">
        <v>2310000</v>
      </c>
      <c r="H5" s="475">
        <v>2205815</v>
      </c>
      <c r="I5" s="475">
        <v>0</v>
      </c>
      <c r="J5" s="475">
        <v>4153</v>
      </c>
      <c r="K5" s="475">
        <v>4153</v>
      </c>
      <c r="L5" s="475">
        <v>2209968</v>
      </c>
      <c r="M5" s="476">
        <v>32</v>
      </c>
      <c r="N5" s="476">
        <v>646000</v>
      </c>
      <c r="O5" s="476">
        <v>434000</v>
      </c>
      <c r="P5" s="476">
        <v>100032</v>
      </c>
      <c r="Q5" s="476"/>
      <c r="R5" s="476"/>
      <c r="S5" s="476">
        <v>0</v>
      </c>
      <c r="T5" s="476">
        <v>100000</v>
      </c>
      <c r="U5" s="476">
        <v>546000</v>
      </c>
      <c r="V5" s="476"/>
      <c r="W5" s="476">
        <v>546000</v>
      </c>
      <c r="X5" s="475"/>
      <c r="Y5" s="475"/>
      <c r="Z5" s="475"/>
      <c r="AA5" s="474"/>
      <c r="AB5" s="474" t="s">
        <v>323</v>
      </c>
      <c r="AC5" s="474">
        <v>760000</v>
      </c>
    </row>
    <row r="6" spans="1:53" ht="82.8">
      <c r="A6" s="474">
        <f>1+A5</f>
        <v>2</v>
      </c>
      <c r="B6" s="474">
        <v>1497</v>
      </c>
      <c r="C6" s="474" t="s">
        <v>59</v>
      </c>
      <c r="D6" s="475">
        <v>8820000</v>
      </c>
      <c r="E6" s="475">
        <v>8820000</v>
      </c>
      <c r="F6" s="475">
        <v>0</v>
      </c>
      <c r="G6" s="475">
        <v>3173000</v>
      </c>
      <c r="H6" s="475">
        <v>2985949</v>
      </c>
      <c r="I6" s="475">
        <v>30900</v>
      </c>
      <c r="J6" s="475">
        <v>92190</v>
      </c>
      <c r="K6" s="475">
        <v>123090</v>
      </c>
      <c r="L6" s="475">
        <v>3109039</v>
      </c>
      <c r="M6" s="476">
        <v>313961</v>
      </c>
      <c r="N6" s="476">
        <v>500000</v>
      </c>
      <c r="O6" s="476">
        <v>4897000</v>
      </c>
      <c r="P6" s="476">
        <v>63961</v>
      </c>
      <c r="Q6" s="477">
        <v>250000</v>
      </c>
      <c r="R6" s="476"/>
      <c r="S6" s="476">
        <v>250000</v>
      </c>
      <c r="T6" s="476">
        <v>0</v>
      </c>
      <c r="U6" s="476">
        <v>500000</v>
      </c>
      <c r="V6" s="476"/>
      <c r="W6" s="476">
        <v>500000</v>
      </c>
      <c r="X6" s="475"/>
      <c r="Y6" s="475"/>
      <c r="Z6" s="475"/>
      <c r="AA6" s="474"/>
      <c r="AB6" s="474" t="s">
        <v>935</v>
      </c>
      <c r="AC6" s="474">
        <v>610000</v>
      </c>
    </row>
    <row r="7" spans="1:53" ht="45" customHeight="1">
      <c r="A7" s="474">
        <f t="shared" ref="A7:A16" si="0">1+A6</f>
        <v>3</v>
      </c>
      <c r="B7" s="474">
        <v>1647</v>
      </c>
      <c r="C7" s="474" t="s">
        <v>306</v>
      </c>
      <c r="D7" s="475">
        <v>4700000</v>
      </c>
      <c r="E7" s="475">
        <v>4700000</v>
      </c>
      <c r="F7" s="475">
        <v>0</v>
      </c>
      <c r="G7" s="475">
        <v>4350000</v>
      </c>
      <c r="H7" s="475">
        <v>4283094</v>
      </c>
      <c r="I7" s="475">
        <v>0</v>
      </c>
      <c r="J7" s="475">
        <v>36691</v>
      </c>
      <c r="K7" s="475">
        <v>36691</v>
      </c>
      <c r="L7" s="475">
        <v>4319785</v>
      </c>
      <c r="M7" s="476">
        <v>30215</v>
      </c>
      <c r="N7" s="476">
        <v>100000</v>
      </c>
      <c r="O7" s="476">
        <v>250000</v>
      </c>
      <c r="P7" s="476">
        <v>30215</v>
      </c>
      <c r="Q7" s="476"/>
      <c r="R7" s="476"/>
      <c r="S7" s="476">
        <v>0</v>
      </c>
      <c r="T7" s="476">
        <v>0</v>
      </c>
      <c r="U7" s="476">
        <v>100000</v>
      </c>
      <c r="V7" s="476"/>
      <c r="W7" s="476">
        <v>100000</v>
      </c>
      <c r="X7" s="475"/>
      <c r="Y7" s="475"/>
      <c r="Z7" s="475"/>
      <c r="AA7" s="474"/>
      <c r="AB7" s="474" t="s">
        <v>336</v>
      </c>
      <c r="AC7" s="474">
        <v>810000</v>
      </c>
    </row>
    <row r="8" spans="1:53" ht="45" customHeight="1">
      <c r="A8" s="474">
        <f t="shared" si="0"/>
        <v>4</v>
      </c>
      <c r="B8" s="474">
        <v>1871</v>
      </c>
      <c r="C8" s="474" t="s">
        <v>365</v>
      </c>
      <c r="D8" s="475">
        <v>23340000</v>
      </c>
      <c r="E8" s="475">
        <v>28240000</v>
      </c>
      <c r="F8" s="475">
        <v>-4900000</v>
      </c>
      <c r="G8" s="475">
        <v>17140000</v>
      </c>
      <c r="H8" s="475">
        <v>9135146</v>
      </c>
      <c r="I8" s="475">
        <v>0</v>
      </c>
      <c r="J8" s="475">
        <v>7938574</v>
      </c>
      <c r="K8" s="475">
        <v>7938574</v>
      </c>
      <c r="L8" s="475">
        <v>17073720</v>
      </c>
      <c r="M8" s="476">
        <v>2266280</v>
      </c>
      <c r="N8" s="476">
        <v>4000000</v>
      </c>
      <c r="O8" s="476">
        <v>0</v>
      </c>
      <c r="P8" s="476">
        <v>66280</v>
      </c>
      <c r="Q8" s="477">
        <v>2200000</v>
      </c>
      <c r="R8" s="476"/>
      <c r="S8" s="476">
        <v>2200000</v>
      </c>
      <c r="T8" s="476">
        <v>0</v>
      </c>
      <c r="U8" s="476">
        <v>4000000</v>
      </c>
      <c r="V8" s="476"/>
      <c r="W8" s="476">
        <v>4000000</v>
      </c>
      <c r="X8" s="475"/>
      <c r="Y8" s="475"/>
      <c r="Z8" s="475"/>
      <c r="AA8" s="474"/>
      <c r="AB8" s="474" t="s">
        <v>305</v>
      </c>
      <c r="AC8" s="474">
        <v>760000</v>
      </c>
    </row>
    <row r="9" spans="1:53" ht="55.2">
      <c r="A9" s="474">
        <f t="shared" si="0"/>
        <v>5</v>
      </c>
      <c r="B9" s="474">
        <v>1982</v>
      </c>
      <c r="C9" s="474" t="s">
        <v>860</v>
      </c>
      <c r="D9" s="475">
        <v>19550000</v>
      </c>
      <c r="E9" s="475">
        <v>15500000</v>
      </c>
      <c r="F9" s="475">
        <v>4050000</v>
      </c>
      <c r="G9" s="475">
        <v>13850000</v>
      </c>
      <c r="H9" s="475">
        <v>11736507</v>
      </c>
      <c r="I9" s="475">
        <v>0</v>
      </c>
      <c r="J9" s="475">
        <v>2016905</v>
      </c>
      <c r="K9" s="475">
        <v>2016905</v>
      </c>
      <c r="L9" s="475">
        <v>13753412</v>
      </c>
      <c r="M9" s="476">
        <v>1096588</v>
      </c>
      <c r="N9" s="476">
        <v>4700000</v>
      </c>
      <c r="O9" s="476">
        <v>0</v>
      </c>
      <c r="P9" s="476">
        <v>96588</v>
      </c>
      <c r="Q9" s="476"/>
      <c r="R9" s="477">
        <v>1000000</v>
      </c>
      <c r="S9" s="476">
        <v>1000000</v>
      </c>
      <c r="T9" s="476">
        <v>0</v>
      </c>
      <c r="U9" s="476">
        <v>4700000</v>
      </c>
      <c r="V9" s="476"/>
      <c r="W9" s="476">
        <v>4700000</v>
      </c>
      <c r="X9" s="475"/>
      <c r="Y9" s="475"/>
      <c r="Z9" s="475"/>
      <c r="AA9" s="474"/>
      <c r="AB9" s="474" t="s">
        <v>929</v>
      </c>
      <c r="AC9" s="474">
        <v>722000</v>
      </c>
    </row>
    <row r="10" spans="1:53" ht="82.8">
      <c r="A10" s="474">
        <f t="shared" si="0"/>
        <v>6</v>
      </c>
      <c r="B10" s="474">
        <v>2082</v>
      </c>
      <c r="C10" s="474" t="s">
        <v>1528</v>
      </c>
      <c r="D10" s="475">
        <v>1600000</v>
      </c>
      <c r="E10" s="475">
        <v>1200000</v>
      </c>
      <c r="F10" s="475">
        <v>400000</v>
      </c>
      <c r="G10" s="475">
        <v>200000</v>
      </c>
      <c r="H10" s="475">
        <v>30115</v>
      </c>
      <c r="I10" s="475">
        <v>0</v>
      </c>
      <c r="J10" s="475">
        <v>20020</v>
      </c>
      <c r="K10" s="475">
        <v>20020</v>
      </c>
      <c r="L10" s="475">
        <v>50135</v>
      </c>
      <c r="M10" s="476">
        <v>29865</v>
      </c>
      <c r="N10" s="476">
        <v>1520000</v>
      </c>
      <c r="O10" s="476">
        <v>0</v>
      </c>
      <c r="P10" s="476">
        <v>149865</v>
      </c>
      <c r="Q10" s="476"/>
      <c r="R10" s="476"/>
      <c r="S10" s="476">
        <v>0</v>
      </c>
      <c r="T10" s="476">
        <v>120000</v>
      </c>
      <c r="U10" s="476">
        <v>1400000</v>
      </c>
      <c r="V10" s="476"/>
      <c r="W10" s="476">
        <v>1400000</v>
      </c>
      <c r="X10" s="475"/>
      <c r="Y10" s="475"/>
      <c r="Z10" s="475"/>
      <c r="AA10" s="474"/>
      <c r="AB10" s="474" t="s">
        <v>366</v>
      </c>
      <c r="AC10" s="474">
        <v>760000</v>
      </c>
    </row>
    <row r="11" spans="1:53" ht="45" customHeight="1">
      <c r="A11" s="474">
        <f t="shared" si="0"/>
        <v>7</v>
      </c>
      <c r="B11" s="474">
        <v>2083</v>
      </c>
      <c r="C11" s="474" t="s">
        <v>318</v>
      </c>
      <c r="D11" s="475">
        <v>7880000</v>
      </c>
      <c r="E11" s="475">
        <v>7880000</v>
      </c>
      <c r="F11" s="475">
        <v>0</v>
      </c>
      <c r="G11" s="475">
        <v>7880000</v>
      </c>
      <c r="H11" s="475">
        <v>5437672</v>
      </c>
      <c r="I11" s="475">
        <v>0</v>
      </c>
      <c r="J11" s="475">
        <v>0</v>
      </c>
      <c r="K11" s="475">
        <v>0</v>
      </c>
      <c r="L11" s="475">
        <v>5437672</v>
      </c>
      <c r="M11" s="476">
        <v>2442328</v>
      </c>
      <c r="N11" s="476"/>
      <c r="O11" s="476">
        <v>0</v>
      </c>
      <c r="P11" s="476">
        <v>2442328</v>
      </c>
      <c r="Q11" s="476"/>
      <c r="R11" s="476"/>
      <c r="S11" s="476">
        <v>0</v>
      </c>
      <c r="T11" s="476">
        <v>0</v>
      </c>
      <c r="U11" s="476">
        <v>0</v>
      </c>
      <c r="V11" s="476"/>
      <c r="W11" s="476">
        <v>0</v>
      </c>
      <c r="X11" s="475"/>
      <c r="Y11" s="475"/>
      <c r="Z11" s="475"/>
      <c r="AA11" s="475"/>
      <c r="AB11" s="474" t="s">
        <v>1043</v>
      </c>
      <c r="AC11" s="474">
        <v>810000</v>
      </c>
    </row>
    <row r="12" spans="1:53" ht="82.8">
      <c r="A12" s="474">
        <f t="shared" si="0"/>
        <v>8</v>
      </c>
      <c r="B12" s="313">
        <v>2170</v>
      </c>
      <c r="C12" s="3" t="s">
        <v>446</v>
      </c>
      <c r="D12" s="4">
        <v>860000</v>
      </c>
      <c r="E12" s="4">
        <v>360000</v>
      </c>
      <c r="F12" s="475">
        <v>500000</v>
      </c>
      <c r="G12" s="4">
        <v>360000</v>
      </c>
      <c r="H12" s="4">
        <v>199520</v>
      </c>
      <c r="I12" s="4">
        <v>0</v>
      </c>
      <c r="J12" s="4">
        <v>56686</v>
      </c>
      <c r="K12" s="475">
        <v>56686</v>
      </c>
      <c r="L12" s="475">
        <v>256206</v>
      </c>
      <c r="M12" s="476">
        <v>103794</v>
      </c>
      <c r="N12" s="476">
        <v>500000</v>
      </c>
      <c r="O12" s="476">
        <v>0</v>
      </c>
      <c r="P12" s="476">
        <v>103794</v>
      </c>
      <c r="Q12" s="476"/>
      <c r="R12" s="476"/>
      <c r="S12" s="476">
        <v>0</v>
      </c>
      <c r="T12" s="476">
        <v>0</v>
      </c>
      <c r="U12" s="476">
        <v>500000</v>
      </c>
      <c r="V12" s="476"/>
      <c r="W12" s="476">
        <v>500000</v>
      </c>
      <c r="X12" s="475"/>
      <c r="Y12" s="475"/>
      <c r="Z12" s="475"/>
      <c r="AA12" s="474"/>
      <c r="AB12" s="3" t="s">
        <v>513</v>
      </c>
      <c r="AC12" s="474">
        <v>760000</v>
      </c>
    </row>
    <row r="13" spans="1:53" ht="45" customHeight="1">
      <c r="A13" s="474">
        <f t="shared" si="0"/>
        <v>9</v>
      </c>
      <c r="B13" s="313">
        <v>2188</v>
      </c>
      <c r="C13" s="3" t="s">
        <v>514</v>
      </c>
      <c r="D13" s="4">
        <v>4328000</v>
      </c>
      <c r="E13" s="4">
        <v>4328000</v>
      </c>
      <c r="F13" s="475">
        <v>0</v>
      </c>
      <c r="G13" s="4">
        <v>4328000</v>
      </c>
      <c r="H13" s="4">
        <v>4323154</v>
      </c>
      <c r="I13" s="4">
        <v>0</v>
      </c>
      <c r="J13" s="4"/>
      <c r="K13" s="475">
        <v>0</v>
      </c>
      <c r="L13" s="475">
        <v>4323154</v>
      </c>
      <c r="M13" s="476">
        <v>4846</v>
      </c>
      <c r="N13" s="476"/>
      <c r="O13" s="476">
        <v>0</v>
      </c>
      <c r="P13" s="476">
        <v>4846</v>
      </c>
      <c r="Q13" s="476"/>
      <c r="R13" s="476"/>
      <c r="S13" s="476">
        <v>0</v>
      </c>
      <c r="T13" s="476">
        <v>0</v>
      </c>
      <c r="U13" s="476">
        <v>0</v>
      </c>
      <c r="V13" s="476"/>
      <c r="W13" s="476">
        <v>0</v>
      </c>
      <c r="X13" s="475"/>
      <c r="Y13" s="475"/>
      <c r="Z13" s="475"/>
      <c r="AA13" s="476"/>
      <c r="AB13" s="3" t="s">
        <v>1044</v>
      </c>
      <c r="AC13" s="474">
        <v>810000</v>
      </c>
    </row>
    <row r="14" spans="1:53" s="5" customFormat="1" ht="45" customHeight="1">
      <c r="A14" s="474">
        <f t="shared" si="0"/>
        <v>10</v>
      </c>
      <c r="B14" s="28">
        <v>20076</v>
      </c>
      <c r="C14" s="3" t="s">
        <v>930</v>
      </c>
      <c r="D14" s="4">
        <v>220000</v>
      </c>
      <c r="E14" s="4"/>
      <c r="F14" s="4">
        <v>220000</v>
      </c>
      <c r="G14" s="4"/>
      <c r="H14" s="4"/>
      <c r="I14" s="4"/>
      <c r="J14" s="4"/>
      <c r="K14" s="476">
        <v>0</v>
      </c>
      <c r="L14" s="476">
        <v>0</v>
      </c>
      <c r="M14" s="476">
        <v>0</v>
      </c>
      <c r="N14" s="476">
        <v>220000</v>
      </c>
      <c r="O14" s="476">
        <v>0</v>
      </c>
      <c r="P14" s="476">
        <v>0</v>
      </c>
      <c r="Q14" s="476"/>
      <c r="R14" s="476"/>
      <c r="S14" s="476">
        <v>0</v>
      </c>
      <c r="T14" s="476">
        <v>0</v>
      </c>
      <c r="U14" s="4">
        <v>220000</v>
      </c>
      <c r="V14" s="4">
        <v>0</v>
      </c>
      <c r="W14" s="4">
        <v>220000</v>
      </c>
      <c r="X14" s="4"/>
      <c r="Y14" s="4"/>
      <c r="Z14" s="4"/>
      <c r="AA14" s="4"/>
      <c r="AB14" s="3" t="s">
        <v>1337</v>
      </c>
      <c r="AC14" s="3">
        <v>610000</v>
      </c>
      <c r="AD14" s="184"/>
      <c r="AE14" s="184"/>
      <c r="AF14" s="184"/>
      <c r="AG14" s="184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</row>
    <row r="15" spans="1:53" s="5" customFormat="1" ht="45" customHeight="1">
      <c r="A15" s="474">
        <f t="shared" si="0"/>
        <v>11</v>
      </c>
      <c r="B15" s="28">
        <v>20077</v>
      </c>
      <c r="C15" s="474" t="s">
        <v>318</v>
      </c>
      <c r="D15" s="4">
        <v>1000000</v>
      </c>
      <c r="E15" s="4"/>
      <c r="F15" s="4">
        <v>1000000</v>
      </c>
      <c r="G15" s="4"/>
      <c r="H15" s="4"/>
      <c r="I15" s="4"/>
      <c r="J15" s="4"/>
      <c r="K15" s="476">
        <v>0</v>
      </c>
      <c r="L15" s="476">
        <v>0</v>
      </c>
      <c r="M15" s="476">
        <v>0</v>
      </c>
      <c r="N15" s="476">
        <v>1000000</v>
      </c>
      <c r="O15" s="476">
        <v>0</v>
      </c>
      <c r="P15" s="476">
        <v>0</v>
      </c>
      <c r="Q15" s="476"/>
      <c r="R15" s="476"/>
      <c r="S15" s="476">
        <v>0</v>
      </c>
      <c r="T15" s="476">
        <v>0</v>
      </c>
      <c r="U15" s="4">
        <v>1000000</v>
      </c>
      <c r="V15" s="4">
        <v>0</v>
      </c>
      <c r="W15" s="4"/>
      <c r="X15" s="4"/>
      <c r="Y15" s="4"/>
      <c r="Z15" s="4"/>
      <c r="AA15" s="4">
        <v>1000000</v>
      </c>
      <c r="AB15" s="474" t="s">
        <v>1043</v>
      </c>
      <c r="AC15" s="3">
        <v>810000</v>
      </c>
      <c r="AD15" s="184"/>
      <c r="AE15" s="184"/>
      <c r="AF15" s="184"/>
      <c r="AG15" s="184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</row>
    <row r="16" spans="1:53" s="5" customFormat="1" ht="45" customHeight="1">
      <c r="A16" s="474">
        <f t="shared" si="0"/>
        <v>12</v>
      </c>
      <c r="B16" s="28">
        <v>20078</v>
      </c>
      <c r="C16" s="3" t="s">
        <v>937</v>
      </c>
      <c r="D16" s="4">
        <v>1200000</v>
      </c>
      <c r="E16" s="4"/>
      <c r="F16" s="4">
        <v>1200000</v>
      </c>
      <c r="G16" s="4"/>
      <c r="H16" s="4"/>
      <c r="I16" s="4"/>
      <c r="J16" s="4"/>
      <c r="K16" s="4"/>
      <c r="L16" s="4"/>
      <c r="M16" s="4"/>
      <c r="N16" s="4">
        <v>1200000</v>
      </c>
      <c r="O16" s="4"/>
      <c r="P16" s="4"/>
      <c r="Q16" s="4"/>
      <c r="R16" s="4"/>
      <c r="S16" s="4"/>
      <c r="T16" s="4"/>
      <c r="U16" s="4">
        <v>1200000</v>
      </c>
      <c r="V16" s="4">
        <v>0</v>
      </c>
      <c r="W16" s="4">
        <v>1200000</v>
      </c>
      <c r="X16" s="4"/>
      <c r="Y16" s="4"/>
      <c r="Z16" s="4"/>
      <c r="AA16" s="4"/>
      <c r="AB16" s="3" t="s">
        <v>936</v>
      </c>
      <c r="AC16" s="3">
        <v>610000</v>
      </c>
      <c r="AD16" s="184"/>
      <c r="AE16" s="184"/>
      <c r="AF16" s="184"/>
      <c r="AG16" s="184"/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</row>
    <row r="17" spans="1:49" s="6" customFormat="1" ht="45" customHeight="1">
      <c r="A17" s="7">
        <f>A16</f>
        <v>12</v>
      </c>
      <c r="B17" s="29"/>
      <c r="C17" s="29" t="s">
        <v>931</v>
      </c>
      <c r="D17" s="8">
        <v>76788000</v>
      </c>
      <c r="E17" s="8">
        <v>74318000</v>
      </c>
      <c r="F17" s="8">
        <v>2470000</v>
      </c>
      <c r="G17" s="8">
        <v>53591000</v>
      </c>
      <c r="H17" s="8">
        <v>40336972</v>
      </c>
      <c r="I17" s="8">
        <v>30900</v>
      </c>
      <c r="J17" s="8">
        <v>10165219</v>
      </c>
      <c r="K17" s="8">
        <v>10196119</v>
      </c>
      <c r="L17" s="8">
        <v>50533091</v>
      </c>
      <c r="M17" s="8">
        <v>6287909</v>
      </c>
      <c r="N17" s="8">
        <v>14386000</v>
      </c>
      <c r="O17" s="8">
        <v>5581000</v>
      </c>
      <c r="P17" s="8">
        <v>3057909</v>
      </c>
      <c r="Q17" s="8">
        <v>2450000</v>
      </c>
      <c r="R17" s="8">
        <v>1000000</v>
      </c>
      <c r="S17" s="8">
        <v>3450000</v>
      </c>
      <c r="T17" s="8">
        <v>220000</v>
      </c>
      <c r="U17" s="8">
        <v>14166000</v>
      </c>
      <c r="V17" s="8">
        <v>0</v>
      </c>
      <c r="W17" s="8">
        <v>13166000</v>
      </c>
      <c r="X17" s="8">
        <v>0</v>
      </c>
      <c r="Y17" s="8">
        <v>0</v>
      </c>
      <c r="Z17" s="8">
        <v>0</v>
      </c>
      <c r="AA17" s="8">
        <v>1000000</v>
      </c>
      <c r="AB17" s="7"/>
      <c r="AC17" s="7"/>
      <c r="AD17" s="184"/>
      <c r="AE17" s="184"/>
      <c r="AF17" s="184"/>
      <c r="AG17" s="184"/>
      <c r="AH17" s="463"/>
      <c r="AI17" s="463"/>
      <c r="AJ17" s="463"/>
      <c r="AK17" s="463"/>
      <c r="AL17" s="463"/>
      <c r="AM17" s="463"/>
      <c r="AN17" s="463"/>
      <c r="AO17" s="463"/>
      <c r="AP17" s="463"/>
      <c r="AQ17" s="463"/>
      <c r="AR17" s="463"/>
      <c r="AS17" s="463"/>
      <c r="AT17" s="463"/>
      <c r="AU17" s="463"/>
      <c r="AV17" s="463"/>
      <c r="AW17" s="463"/>
    </row>
  </sheetData>
  <conditionalFormatting sqref="F5:F13">
    <cfRule type="cellIs" dxfId="120" priority="24" operator="equal">
      <formula>0</formula>
    </cfRule>
  </conditionalFormatting>
  <conditionalFormatting sqref="A2:W3 AB10:AC10 B6:E8 Z2:AA2 Z1:AB1 G6:J8 Z6:AA13 X1:X5 Z3:AB5 Y1:Y13 V4:W4 AC1:AC9 A1:M1 O1:W1 F6:F13 AB12:AC12 K6:X13 B5:W5 B4:L4">
    <cfRule type="cellIs" dxfId="119" priority="23" operator="equal">
      <formula>0</formula>
    </cfRule>
  </conditionalFormatting>
  <conditionalFormatting sqref="AB8">
    <cfRule type="cellIs" dxfId="118" priority="20" operator="equal">
      <formula>0</formula>
    </cfRule>
  </conditionalFormatting>
  <conditionalFormatting sqref="AB6">
    <cfRule type="cellIs" dxfId="117" priority="22" operator="equal">
      <formula>0</formula>
    </cfRule>
  </conditionalFormatting>
  <conditionalFormatting sqref="AB7">
    <cfRule type="cellIs" dxfId="116" priority="21" operator="equal">
      <formula>0</formula>
    </cfRule>
  </conditionalFormatting>
  <conditionalFormatting sqref="B9:E9 G9:J9">
    <cfRule type="cellIs" dxfId="115" priority="19" operator="equal">
      <formula>0</formula>
    </cfRule>
  </conditionalFormatting>
  <conditionalFormatting sqref="AB9">
    <cfRule type="cellIs" dxfId="114" priority="18" operator="equal">
      <formula>0</formula>
    </cfRule>
  </conditionalFormatting>
  <conditionalFormatting sqref="B12:E12 B10:C10 G12:J12">
    <cfRule type="cellIs" dxfId="113" priority="17" operator="equal">
      <formula>0</formula>
    </cfRule>
  </conditionalFormatting>
  <conditionalFormatting sqref="B10 E10 G10:J10">
    <cfRule type="cellIs" dxfId="112" priority="16" operator="equal">
      <formula>0</formula>
    </cfRule>
  </conditionalFormatting>
  <conditionalFormatting sqref="C10">
    <cfRule type="cellIs" dxfId="111" priority="15" operator="equal">
      <formula>0</formula>
    </cfRule>
  </conditionalFormatting>
  <conditionalFormatting sqref="D10">
    <cfRule type="cellIs" dxfId="110" priority="14" operator="equal">
      <formula>0</formula>
    </cfRule>
  </conditionalFormatting>
  <conditionalFormatting sqref="AB11">
    <cfRule type="cellIs" dxfId="109" priority="13" operator="equal">
      <formula>0</formula>
    </cfRule>
  </conditionalFormatting>
  <conditionalFormatting sqref="B11:E11 G11:J11">
    <cfRule type="cellIs" dxfId="108" priority="12" operator="equal">
      <formula>0</formula>
    </cfRule>
  </conditionalFormatting>
  <conditionalFormatting sqref="AC11">
    <cfRule type="cellIs" dxfId="107" priority="11" operator="equal">
      <formula>0</formula>
    </cfRule>
  </conditionalFormatting>
  <conditionalFormatting sqref="AC13">
    <cfRule type="cellIs" dxfId="106" priority="10" operator="equal">
      <formula>0</formula>
    </cfRule>
  </conditionalFormatting>
  <conditionalFormatting sqref="AB2">
    <cfRule type="cellIs" dxfId="105" priority="9" operator="equal">
      <formula>0</formula>
    </cfRule>
  </conditionalFormatting>
  <conditionalFormatting sqref="AA12">
    <cfRule type="cellIs" dxfId="104" priority="8" operator="equal">
      <formula>0</formula>
    </cfRule>
  </conditionalFormatting>
  <conditionalFormatting sqref="A5:A16">
    <cfRule type="cellIs" dxfId="103" priority="7" operator="equal">
      <formula>0</formula>
    </cfRule>
  </conditionalFormatting>
  <conditionalFormatting sqref="N4">
    <cfRule type="cellIs" dxfId="102" priority="6" operator="equal">
      <formula>0</formula>
    </cfRule>
  </conditionalFormatting>
  <conditionalFormatting sqref="M4">
    <cfRule type="cellIs" dxfId="101" priority="5" operator="equal">
      <formula>0</formula>
    </cfRule>
  </conditionalFormatting>
  <conditionalFormatting sqref="K15:T15">
    <cfRule type="cellIs" dxfId="100" priority="3" operator="equal">
      <formula>0</formula>
    </cfRule>
  </conditionalFormatting>
  <conditionalFormatting sqref="K14:T14">
    <cfRule type="cellIs" dxfId="99" priority="4" operator="equal">
      <formula>0</formula>
    </cfRule>
  </conditionalFormatting>
  <conditionalFormatting sqref="C15">
    <cfRule type="cellIs" dxfId="98" priority="2" operator="equal">
      <formula>0</formula>
    </cfRule>
  </conditionalFormatting>
  <conditionalFormatting sqref="AB15">
    <cfRule type="cellIs" dxfId="97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"/>
  <sheetViews>
    <sheetView showZeros="0" rightToLeft="1" tabSelected="1" workbookViewId="0">
      <selection activeCell="M31" sqref="M31"/>
    </sheetView>
  </sheetViews>
  <sheetFormatPr defaultColWidth="9.109375" defaultRowHeight="13.8"/>
  <cols>
    <col min="1" max="3" width="4.109375" style="263" customWidth="1"/>
    <col min="4" max="4" width="34.88671875" style="263" customWidth="1"/>
    <col min="5" max="5" width="30.44140625" style="263" customWidth="1"/>
    <col min="6" max="6" width="10.88671875" style="263" customWidth="1"/>
    <col min="7" max="7" width="5.5546875" style="263" customWidth="1"/>
    <col min="8" max="9" width="12.109375" style="263" customWidth="1"/>
    <col min="10" max="10" width="7.88671875" style="263" customWidth="1"/>
    <col min="11" max="16384" width="9.109375" style="263"/>
  </cols>
  <sheetData>
    <row r="3" spans="1:17" ht="21">
      <c r="A3" s="262"/>
      <c r="C3" s="264" t="s">
        <v>313</v>
      </c>
      <c r="D3" s="262"/>
      <c r="E3" s="262"/>
      <c r="F3" s="262"/>
      <c r="G3" s="262"/>
      <c r="H3" s="262"/>
      <c r="I3" s="262"/>
      <c r="J3" s="262"/>
      <c r="K3" s="262"/>
      <c r="L3" s="262"/>
    </row>
    <row r="4" spans="1:17" ht="21">
      <c r="A4" s="262"/>
      <c r="C4" s="264"/>
      <c r="D4" s="262"/>
      <c r="E4" s="262"/>
      <c r="F4" s="262"/>
      <c r="G4" s="262"/>
      <c r="H4" s="262"/>
      <c r="I4" s="262"/>
      <c r="J4" s="262"/>
      <c r="K4" s="262"/>
      <c r="L4" s="262"/>
    </row>
    <row r="5" spans="1:17" ht="21.6" thickBot="1">
      <c r="A5" s="262"/>
      <c r="C5" s="264"/>
      <c r="D5" s="262"/>
      <c r="E5" s="262"/>
      <c r="F5" s="262"/>
      <c r="G5" s="262"/>
      <c r="H5" s="262"/>
      <c r="I5" s="262"/>
      <c r="J5" s="262"/>
      <c r="K5" s="262"/>
      <c r="L5" s="262"/>
    </row>
    <row r="6" spans="1:17" ht="16.2" thickBot="1">
      <c r="A6" s="262"/>
      <c r="B6" s="265" t="s">
        <v>136</v>
      </c>
      <c r="C6" s="262" t="s">
        <v>1446</v>
      </c>
      <c r="D6" s="262"/>
      <c r="E6" s="262"/>
      <c r="F6" s="266">
        <v>300000</v>
      </c>
      <c r="I6" s="262"/>
      <c r="J6" s="262"/>
      <c r="K6" s="262"/>
      <c r="L6" s="262"/>
    </row>
    <row r="7" spans="1:17" ht="15.6">
      <c r="B7" s="265"/>
      <c r="C7" s="262"/>
      <c r="D7" s="262"/>
      <c r="E7" s="262"/>
      <c r="F7" s="262"/>
      <c r="H7" s="262"/>
      <c r="I7" s="262"/>
      <c r="J7" s="262"/>
      <c r="K7" s="262"/>
      <c r="L7" s="262"/>
      <c r="M7" s="262"/>
      <c r="N7" s="262"/>
      <c r="O7" s="262"/>
      <c r="P7" s="262"/>
      <c r="Q7" s="262"/>
    </row>
    <row r="8" spans="1:17" ht="15.6">
      <c r="B8" s="265" t="s">
        <v>136</v>
      </c>
      <c r="C8" s="262" t="s">
        <v>242</v>
      </c>
      <c r="D8" s="262"/>
      <c r="E8" s="262"/>
      <c r="F8" s="262"/>
      <c r="G8" s="262"/>
      <c r="H8" s="262"/>
      <c r="I8" s="262"/>
      <c r="J8" s="262"/>
      <c r="K8" s="262"/>
      <c r="L8" s="262"/>
    </row>
    <row r="9" spans="1:17" ht="15.6">
      <c r="B9" s="265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</row>
    <row r="10" spans="1:17" ht="15.6">
      <c r="B10" s="265" t="s">
        <v>136</v>
      </c>
      <c r="C10" s="262" t="s">
        <v>388</v>
      </c>
      <c r="D10" s="262"/>
      <c r="F10" s="262"/>
      <c r="H10" s="267"/>
      <c r="I10" s="262"/>
      <c r="J10" s="262"/>
      <c r="K10" s="262"/>
      <c r="L10" s="262"/>
      <c r="M10" s="262"/>
      <c r="N10" s="262"/>
      <c r="O10" s="262"/>
      <c r="P10" s="262"/>
      <c r="Q10" s="262"/>
    </row>
    <row r="11" spans="1:17" ht="15.6">
      <c r="C11" s="262" t="s">
        <v>243</v>
      </c>
      <c r="D11" s="262"/>
      <c r="E11" s="262"/>
      <c r="F11" s="262"/>
      <c r="H11" s="262"/>
      <c r="I11" s="262"/>
      <c r="J11" s="262"/>
      <c r="K11" s="262"/>
      <c r="L11" s="262"/>
    </row>
    <row r="12" spans="1:17" ht="15.6">
      <c r="B12" s="265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7" ht="15.6">
      <c r="B13" s="265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"/>
  <sheetViews>
    <sheetView showZeros="0" rightToLeft="1" tabSelected="1" zoomScaleNormal="100" workbookViewId="0">
      <pane xSplit="3" ySplit="4" topLeftCell="D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.88671875" defaultRowHeight="13.8"/>
  <cols>
    <col min="1" max="1" width="3.77734375" style="146" customWidth="1"/>
    <col min="2" max="2" width="5.77734375" style="145" customWidth="1"/>
    <col min="3" max="3" width="29.6640625" style="145" bestFit="1" customWidth="1"/>
    <col min="4" max="5" width="10.77734375" style="149" customWidth="1"/>
    <col min="6" max="6" width="8.77734375" style="149" customWidth="1"/>
    <col min="7" max="8" width="10.109375" style="149" hidden="1" customWidth="1"/>
    <col min="9" max="9" width="7.5546875" style="149" hidden="1" customWidth="1"/>
    <col min="10" max="10" width="6.5546875" style="149" hidden="1" customWidth="1"/>
    <col min="11" max="11" width="9.5546875" style="149" hidden="1" customWidth="1"/>
    <col min="12" max="12" width="9.77734375" style="149" customWidth="1"/>
    <col min="13" max="13" width="8.88671875" style="149" customWidth="1"/>
    <col min="14" max="15" width="9.77734375" style="149" customWidth="1"/>
    <col min="16" max="16" width="10.109375" style="149" hidden="1" customWidth="1"/>
    <col min="17" max="18" width="13.5546875" style="149" hidden="1" customWidth="1"/>
    <col min="19" max="19" width="7.5546875" style="149" hidden="1" customWidth="1"/>
    <col min="20" max="20" width="9.77734375" style="149" customWidth="1"/>
    <col min="21" max="22" width="8.77734375" style="145" customWidth="1"/>
    <col min="23" max="24" width="7" style="145" hidden="1" customWidth="1"/>
    <col min="25" max="25" width="9.109375" style="145" hidden="1" customWidth="1"/>
    <col min="26" max="26" width="9.5546875" style="145" hidden="1" customWidth="1"/>
    <col min="27" max="27" width="7.5546875" style="145" hidden="1" customWidth="1"/>
    <col min="28" max="28" width="35.77734375" style="145" customWidth="1"/>
    <col min="29" max="29" width="7" style="145" hidden="1" customWidth="1"/>
    <col min="30" max="30" width="32" style="165" customWidth="1"/>
    <col min="31" max="31" width="15.5546875" style="165" customWidth="1"/>
    <col min="32" max="16384" width="8.88671875" style="145"/>
  </cols>
  <sheetData>
    <row r="1" spans="1:32" s="164" customFormat="1" ht="18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D1" s="165"/>
      <c r="AE1" s="165"/>
    </row>
    <row r="2" spans="1:32" ht="18">
      <c r="A2" s="180" t="s">
        <v>313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1:32" ht="21" customHeight="1"/>
    <row r="4" spans="1:32" s="165" customFormat="1" ht="86.25" customHeight="1">
      <c r="A4" s="144" t="s">
        <v>0</v>
      </c>
      <c r="B4" s="144" t="s">
        <v>1</v>
      </c>
      <c r="C4" s="144" t="s">
        <v>2</v>
      </c>
      <c r="D4" s="144" t="s">
        <v>3</v>
      </c>
      <c r="E4" s="144" t="s">
        <v>4</v>
      </c>
      <c r="F4" s="144" t="s">
        <v>5</v>
      </c>
      <c r="G4" s="144" t="s">
        <v>6</v>
      </c>
      <c r="H4" s="144" t="s">
        <v>7</v>
      </c>
      <c r="I4" s="144" t="s">
        <v>9</v>
      </c>
      <c r="J4" s="144" t="s">
        <v>132</v>
      </c>
      <c r="K4" s="144" t="s">
        <v>10</v>
      </c>
      <c r="L4" s="144" t="s">
        <v>11</v>
      </c>
      <c r="M4" s="144" t="s">
        <v>875</v>
      </c>
      <c r="N4" s="144" t="s">
        <v>876</v>
      </c>
      <c r="O4" s="9" t="s">
        <v>877</v>
      </c>
      <c r="P4" s="9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144" t="s">
        <v>13</v>
      </c>
      <c r="W4" s="144" t="s">
        <v>14</v>
      </c>
      <c r="X4" s="144" t="s">
        <v>15</v>
      </c>
      <c r="Y4" s="144" t="s">
        <v>225</v>
      </c>
      <c r="Z4" s="144" t="s">
        <v>575</v>
      </c>
      <c r="AA4" s="144" t="s">
        <v>79</v>
      </c>
      <c r="AB4" s="388" t="s">
        <v>257</v>
      </c>
      <c r="AC4" s="144" t="s">
        <v>16</v>
      </c>
    </row>
    <row r="5" spans="1:32" s="151" customFormat="1" ht="30" customHeight="1">
      <c r="A5" s="152">
        <v>1</v>
      </c>
      <c r="B5" s="153">
        <v>470</v>
      </c>
      <c r="C5" s="152" t="s">
        <v>62</v>
      </c>
      <c r="D5" s="133">
        <v>2130000</v>
      </c>
      <c r="E5" s="133">
        <v>2130000</v>
      </c>
      <c r="F5" s="133">
        <v>0</v>
      </c>
      <c r="G5" s="133">
        <v>1830000</v>
      </c>
      <c r="H5" s="133">
        <v>1737007</v>
      </c>
      <c r="I5" s="133">
        <v>0</v>
      </c>
      <c r="J5" s="133">
        <v>0</v>
      </c>
      <c r="K5" s="133">
        <v>0</v>
      </c>
      <c r="L5" s="133">
        <v>1737007</v>
      </c>
      <c r="M5" s="133">
        <v>92993</v>
      </c>
      <c r="N5" s="133"/>
      <c r="O5" s="133">
        <v>300000</v>
      </c>
      <c r="P5" s="133">
        <v>92993</v>
      </c>
      <c r="Q5" s="133"/>
      <c r="R5" s="133"/>
      <c r="S5" s="133">
        <v>0</v>
      </c>
      <c r="T5" s="133">
        <v>0</v>
      </c>
      <c r="U5" s="133">
        <v>0</v>
      </c>
      <c r="V5" s="133">
        <v>0</v>
      </c>
      <c r="W5" s="133"/>
      <c r="X5" s="133"/>
      <c r="Y5" s="133"/>
      <c r="Z5" s="133"/>
      <c r="AA5" s="152"/>
      <c r="AB5" s="325" t="s">
        <v>310</v>
      </c>
      <c r="AC5" s="152">
        <v>935000</v>
      </c>
      <c r="AD5" s="165"/>
      <c r="AE5" s="165"/>
      <c r="AF5" s="251"/>
    </row>
    <row r="6" spans="1:32" s="151" customFormat="1" ht="30" customHeight="1">
      <c r="A6" s="152">
        <f>A5+1</f>
        <v>2</v>
      </c>
      <c r="B6" s="153">
        <v>1066</v>
      </c>
      <c r="C6" s="152" t="s">
        <v>63</v>
      </c>
      <c r="D6" s="133">
        <v>75000</v>
      </c>
      <c r="E6" s="133">
        <v>75000</v>
      </c>
      <c r="F6" s="133">
        <v>0</v>
      </c>
      <c r="G6" s="133">
        <v>75000</v>
      </c>
      <c r="H6" s="133">
        <v>40172</v>
      </c>
      <c r="I6" s="133">
        <v>0</v>
      </c>
      <c r="J6" s="133">
        <v>0</v>
      </c>
      <c r="K6" s="133">
        <v>0</v>
      </c>
      <c r="L6" s="133">
        <v>40172</v>
      </c>
      <c r="M6" s="133">
        <v>4828</v>
      </c>
      <c r="N6" s="133">
        <v>30000</v>
      </c>
      <c r="O6" s="133">
        <v>0</v>
      </c>
      <c r="P6" s="133">
        <v>34828</v>
      </c>
      <c r="Q6" s="133"/>
      <c r="R6" s="133"/>
      <c r="S6" s="133">
        <v>0</v>
      </c>
      <c r="T6" s="133">
        <v>30000</v>
      </c>
      <c r="U6" s="133">
        <v>0</v>
      </c>
      <c r="V6" s="133">
        <v>0</v>
      </c>
      <c r="W6" s="133"/>
      <c r="X6" s="133"/>
      <c r="Y6" s="133"/>
      <c r="Z6" s="133"/>
      <c r="AA6" s="152"/>
      <c r="AB6" s="326" t="s">
        <v>330</v>
      </c>
      <c r="AC6" s="152">
        <v>935000</v>
      </c>
      <c r="AD6" s="165"/>
      <c r="AE6" s="165"/>
      <c r="AF6" s="251"/>
    </row>
    <row r="7" spans="1:32" s="151" customFormat="1" ht="30" customHeight="1">
      <c r="A7" s="152">
        <f t="shared" ref="A7:A16" si="0">A6+1</f>
        <v>3</v>
      </c>
      <c r="B7" s="153">
        <v>1177</v>
      </c>
      <c r="C7" s="152" t="s">
        <v>64</v>
      </c>
      <c r="D7" s="133">
        <v>41850000</v>
      </c>
      <c r="E7" s="133">
        <v>41850000</v>
      </c>
      <c r="F7" s="133">
        <v>0</v>
      </c>
      <c r="G7" s="133">
        <v>28957000</v>
      </c>
      <c r="H7" s="133">
        <v>26727455</v>
      </c>
      <c r="I7" s="133">
        <v>0</v>
      </c>
      <c r="J7" s="133">
        <v>0</v>
      </c>
      <c r="K7" s="133">
        <v>0</v>
      </c>
      <c r="L7" s="133">
        <v>26727455</v>
      </c>
      <c r="M7" s="133">
        <v>29545</v>
      </c>
      <c r="N7" s="133">
        <v>2200000</v>
      </c>
      <c r="O7" s="133">
        <v>12893000</v>
      </c>
      <c r="P7" s="133">
        <v>2229545</v>
      </c>
      <c r="Q7" s="133"/>
      <c r="R7" s="133"/>
      <c r="S7" s="133">
        <v>0</v>
      </c>
      <c r="T7" s="133">
        <v>2200000</v>
      </c>
      <c r="U7" s="133">
        <v>0</v>
      </c>
      <c r="V7" s="133">
        <v>0</v>
      </c>
      <c r="W7" s="133"/>
      <c r="X7" s="133"/>
      <c r="Y7" s="133"/>
      <c r="Z7" s="133"/>
      <c r="AA7" s="152"/>
      <c r="AB7" s="326" t="s">
        <v>331</v>
      </c>
      <c r="AC7" s="152">
        <v>930000</v>
      </c>
      <c r="AD7" s="165"/>
      <c r="AE7" s="165"/>
      <c r="AF7" s="251"/>
    </row>
    <row r="8" spans="1:32" s="151" customFormat="1" ht="30" customHeight="1">
      <c r="A8" s="152">
        <f t="shared" si="0"/>
        <v>4</v>
      </c>
      <c r="B8" s="153">
        <v>1258</v>
      </c>
      <c r="C8" s="152" t="s">
        <v>65</v>
      </c>
      <c r="D8" s="133">
        <v>1400000</v>
      </c>
      <c r="E8" s="133">
        <v>1400000</v>
      </c>
      <c r="F8" s="133">
        <v>0</v>
      </c>
      <c r="G8" s="133">
        <v>950000</v>
      </c>
      <c r="H8" s="133">
        <v>949150</v>
      </c>
      <c r="I8" s="133">
        <v>0</v>
      </c>
      <c r="J8" s="133">
        <v>0</v>
      </c>
      <c r="K8" s="133">
        <v>0</v>
      </c>
      <c r="L8" s="133">
        <v>949150</v>
      </c>
      <c r="M8" s="133">
        <v>300850</v>
      </c>
      <c r="N8" s="133"/>
      <c r="O8" s="133">
        <v>150000</v>
      </c>
      <c r="P8" s="133">
        <v>850</v>
      </c>
      <c r="Q8" s="133">
        <v>300000</v>
      </c>
      <c r="R8" s="133"/>
      <c r="S8" s="133">
        <v>300000</v>
      </c>
      <c r="T8" s="133">
        <v>0</v>
      </c>
      <c r="U8" s="133">
        <v>0</v>
      </c>
      <c r="V8" s="133">
        <v>0</v>
      </c>
      <c r="W8" s="133"/>
      <c r="X8" s="133"/>
      <c r="Y8" s="133"/>
      <c r="Z8" s="133"/>
      <c r="AA8" s="152"/>
      <c r="AB8" s="327" t="s">
        <v>254</v>
      </c>
      <c r="AC8" s="152">
        <v>930000</v>
      </c>
      <c r="AD8" s="165"/>
      <c r="AE8" s="165"/>
      <c r="AF8" s="251"/>
    </row>
    <row r="9" spans="1:32" s="151" customFormat="1" ht="30" customHeight="1">
      <c r="A9" s="152">
        <f t="shared" si="0"/>
        <v>5</v>
      </c>
      <c r="B9" s="153">
        <v>1330</v>
      </c>
      <c r="C9" s="152" t="s">
        <v>66</v>
      </c>
      <c r="D9" s="133">
        <v>60700000</v>
      </c>
      <c r="E9" s="133">
        <v>60700000</v>
      </c>
      <c r="F9" s="133">
        <v>0</v>
      </c>
      <c r="G9" s="133">
        <v>17249825</v>
      </c>
      <c r="H9" s="133">
        <v>7626051</v>
      </c>
      <c r="I9" s="133">
        <v>0</v>
      </c>
      <c r="J9" s="133">
        <v>21341</v>
      </c>
      <c r="K9" s="133">
        <v>21341</v>
      </c>
      <c r="L9" s="133">
        <v>7647392</v>
      </c>
      <c r="M9" s="133">
        <v>2433</v>
      </c>
      <c r="N9" s="133">
        <v>9600000</v>
      </c>
      <c r="O9" s="133">
        <v>43450175</v>
      </c>
      <c r="P9" s="133">
        <v>9602433</v>
      </c>
      <c r="Q9" s="133"/>
      <c r="R9" s="133"/>
      <c r="S9" s="133">
        <v>0</v>
      </c>
      <c r="T9" s="133">
        <v>9600000</v>
      </c>
      <c r="U9" s="133">
        <v>0</v>
      </c>
      <c r="V9" s="133">
        <v>0</v>
      </c>
      <c r="W9" s="133"/>
      <c r="X9" s="133"/>
      <c r="Y9" s="133"/>
      <c r="Z9" s="133"/>
      <c r="AA9" s="152"/>
      <c r="AB9" s="326" t="s">
        <v>332</v>
      </c>
      <c r="AC9" s="152">
        <v>930000</v>
      </c>
      <c r="AD9" s="165"/>
      <c r="AE9" s="165"/>
      <c r="AF9" s="251"/>
    </row>
    <row r="10" spans="1:32" s="151" customFormat="1" ht="41.4">
      <c r="A10" s="152">
        <f t="shared" si="0"/>
        <v>6</v>
      </c>
      <c r="B10" s="152">
        <v>1704</v>
      </c>
      <c r="C10" s="152" t="s">
        <v>1430</v>
      </c>
      <c r="D10" s="133">
        <v>5784000</v>
      </c>
      <c r="E10" s="133">
        <v>5784000</v>
      </c>
      <c r="F10" s="133">
        <v>0</v>
      </c>
      <c r="G10" s="133">
        <v>890000</v>
      </c>
      <c r="H10" s="133">
        <v>257171</v>
      </c>
      <c r="I10" s="133">
        <v>0</v>
      </c>
      <c r="J10" s="133">
        <v>562556</v>
      </c>
      <c r="K10" s="133">
        <v>562556</v>
      </c>
      <c r="L10" s="133">
        <v>819727</v>
      </c>
      <c r="M10" s="133">
        <v>760273</v>
      </c>
      <c r="N10" s="133"/>
      <c r="O10" s="133">
        <v>4204000</v>
      </c>
      <c r="P10" s="133">
        <v>70273</v>
      </c>
      <c r="Q10" s="133">
        <v>690000</v>
      </c>
      <c r="R10" s="133"/>
      <c r="S10" s="133">
        <v>690000</v>
      </c>
      <c r="T10" s="133">
        <v>0</v>
      </c>
      <c r="U10" s="133">
        <v>0</v>
      </c>
      <c r="V10" s="133">
        <v>0</v>
      </c>
      <c r="W10" s="133"/>
      <c r="X10" s="133"/>
      <c r="Y10" s="133"/>
      <c r="Z10" s="133"/>
      <c r="AA10" s="152"/>
      <c r="AB10" s="327" t="s">
        <v>1431</v>
      </c>
      <c r="AC10" s="152">
        <v>930000</v>
      </c>
      <c r="AD10" s="165"/>
      <c r="AE10" s="165"/>
      <c r="AF10" s="251"/>
    </row>
    <row r="11" spans="1:32" s="5" customFormat="1" ht="30" customHeight="1">
      <c r="A11" s="152">
        <f t="shared" si="0"/>
        <v>7</v>
      </c>
      <c r="B11" s="3">
        <v>1805</v>
      </c>
      <c r="C11" s="3" t="s">
        <v>100</v>
      </c>
      <c r="D11" s="4">
        <v>2250000</v>
      </c>
      <c r="E11" s="4">
        <v>2250000</v>
      </c>
      <c r="F11" s="4">
        <v>0</v>
      </c>
      <c r="G11" s="4">
        <v>850000</v>
      </c>
      <c r="H11" s="4">
        <v>38266</v>
      </c>
      <c r="I11" s="4">
        <v>0</v>
      </c>
      <c r="J11" s="4">
        <v>5343</v>
      </c>
      <c r="K11" s="4">
        <v>5343</v>
      </c>
      <c r="L11" s="4">
        <v>43609</v>
      </c>
      <c r="M11" s="133">
        <v>6391</v>
      </c>
      <c r="N11" s="4">
        <v>800000</v>
      </c>
      <c r="O11" s="4">
        <v>1400000</v>
      </c>
      <c r="P11" s="4">
        <v>806391</v>
      </c>
      <c r="Q11" s="4"/>
      <c r="R11" s="4"/>
      <c r="S11" s="4">
        <v>0</v>
      </c>
      <c r="T11" s="4">
        <v>800000</v>
      </c>
      <c r="U11" s="4">
        <v>0</v>
      </c>
      <c r="V11" s="4">
        <v>0</v>
      </c>
      <c r="W11" s="4"/>
      <c r="X11" s="4"/>
      <c r="Y11" s="4"/>
      <c r="Z11" s="4"/>
      <c r="AA11" s="3"/>
      <c r="AB11" s="3" t="s">
        <v>417</v>
      </c>
      <c r="AC11" s="3">
        <v>742000</v>
      </c>
      <c r="AD11" s="165"/>
      <c r="AE11" s="165"/>
      <c r="AF11" s="251"/>
    </row>
    <row r="12" spans="1:32" s="151" customFormat="1" ht="30" customHeight="1">
      <c r="A12" s="152">
        <f t="shared" si="0"/>
        <v>8</v>
      </c>
      <c r="B12" s="153">
        <v>1983</v>
      </c>
      <c r="C12" s="152" t="s">
        <v>127</v>
      </c>
      <c r="D12" s="133">
        <v>800000</v>
      </c>
      <c r="E12" s="133">
        <v>800000</v>
      </c>
      <c r="F12" s="133">
        <v>0</v>
      </c>
      <c r="G12" s="133">
        <v>100000</v>
      </c>
      <c r="H12" s="133">
        <v>10249</v>
      </c>
      <c r="I12" s="133">
        <v>0</v>
      </c>
      <c r="J12" s="133">
        <v>0</v>
      </c>
      <c r="K12" s="133">
        <v>0</v>
      </c>
      <c r="L12" s="133">
        <v>10249</v>
      </c>
      <c r="M12" s="133">
        <v>89751</v>
      </c>
      <c r="N12" s="133"/>
      <c r="O12" s="133">
        <v>700000</v>
      </c>
      <c r="P12" s="133">
        <v>89751</v>
      </c>
      <c r="Q12" s="133"/>
      <c r="R12" s="133"/>
      <c r="S12" s="133">
        <v>0</v>
      </c>
      <c r="T12" s="133">
        <v>0</v>
      </c>
      <c r="U12" s="133">
        <v>0</v>
      </c>
      <c r="V12" s="133">
        <v>0</v>
      </c>
      <c r="W12" s="133"/>
      <c r="X12" s="133"/>
      <c r="Y12" s="133"/>
      <c r="Z12" s="133"/>
      <c r="AA12" s="152"/>
      <c r="AB12" s="327" t="s">
        <v>255</v>
      </c>
      <c r="AC12" s="152">
        <v>930000</v>
      </c>
      <c r="AD12" s="165"/>
      <c r="AE12" s="165"/>
      <c r="AF12" s="251"/>
    </row>
    <row r="13" spans="1:32" s="151" customFormat="1" ht="30" customHeight="1">
      <c r="A13" s="152">
        <f t="shared" si="0"/>
        <v>9</v>
      </c>
      <c r="B13" s="153">
        <v>1993</v>
      </c>
      <c r="C13" s="152" t="s">
        <v>135</v>
      </c>
      <c r="D13" s="133">
        <v>6000000</v>
      </c>
      <c r="E13" s="133">
        <v>6000000</v>
      </c>
      <c r="F13" s="133">
        <v>0</v>
      </c>
      <c r="G13" s="133">
        <v>6000000</v>
      </c>
      <c r="H13" s="133">
        <v>3768953</v>
      </c>
      <c r="I13" s="133">
        <v>280567</v>
      </c>
      <c r="J13" s="133">
        <v>0</v>
      </c>
      <c r="K13" s="133">
        <v>280567</v>
      </c>
      <c r="L13" s="133">
        <v>4049520</v>
      </c>
      <c r="M13" s="133">
        <v>1950480</v>
      </c>
      <c r="N13" s="133"/>
      <c r="O13" s="133">
        <v>0</v>
      </c>
      <c r="P13" s="133">
        <v>1950480</v>
      </c>
      <c r="Q13" s="133"/>
      <c r="R13" s="133"/>
      <c r="S13" s="133">
        <v>0</v>
      </c>
      <c r="T13" s="133">
        <v>0</v>
      </c>
      <c r="U13" s="133">
        <v>0</v>
      </c>
      <c r="V13" s="133">
        <v>0</v>
      </c>
      <c r="W13" s="133"/>
      <c r="X13" s="133"/>
      <c r="Y13" s="133"/>
      <c r="Z13" s="133"/>
      <c r="AA13" s="152"/>
      <c r="AB13" s="326" t="s">
        <v>312</v>
      </c>
      <c r="AC13" s="152">
        <v>930000</v>
      </c>
      <c r="AD13" s="165"/>
      <c r="AE13" s="165"/>
      <c r="AF13" s="251"/>
    </row>
    <row r="14" spans="1:32" s="151" customFormat="1" ht="30" customHeight="1">
      <c r="A14" s="152">
        <f t="shared" si="0"/>
        <v>10</v>
      </c>
      <c r="B14" s="153">
        <v>2055</v>
      </c>
      <c r="C14" s="152" t="s">
        <v>307</v>
      </c>
      <c r="D14" s="133">
        <v>220000</v>
      </c>
      <c r="E14" s="133">
        <v>220000</v>
      </c>
      <c r="F14" s="133">
        <v>0</v>
      </c>
      <c r="G14" s="133">
        <v>200000</v>
      </c>
      <c r="H14" s="133">
        <v>122292</v>
      </c>
      <c r="I14" s="133">
        <v>0</v>
      </c>
      <c r="J14" s="133">
        <v>0</v>
      </c>
      <c r="K14" s="133">
        <v>0</v>
      </c>
      <c r="L14" s="133">
        <v>122292</v>
      </c>
      <c r="M14" s="133">
        <v>7708</v>
      </c>
      <c r="N14" s="133">
        <v>70000</v>
      </c>
      <c r="O14" s="133">
        <v>20000</v>
      </c>
      <c r="P14" s="133">
        <v>77708</v>
      </c>
      <c r="Q14" s="133"/>
      <c r="R14" s="133"/>
      <c r="S14" s="133">
        <v>0</v>
      </c>
      <c r="T14" s="133">
        <v>70000</v>
      </c>
      <c r="U14" s="133">
        <v>0</v>
      </c>
      <c r="V14" s="133">
        <v>0</v>
      </c>
      <c r="W14" s="133"/>
      <c r="X14" s="133"/>
      <c r="Y14" s="133"/>
      <c r="Z14" s="133"/>
      <c r="AA14" s="152"/>
      <c r="AB14" s="326" t="s">
        <v>333</v>
      </c>
      <c r="AC14" s="152">
        <v>930000</v>
      </c>
      <c r="AD14" s="165"/>
      <c r="AE14" s="165"/>
      <c r="AF14" s="251"/>
    </row>
    <row r="15" spans="1:32" s="151" customFormat="1" ht="30" customHeight="1">
      <c r="A15" s="152">
        <f t="shared" si="0"/>
        <v>11</v>
      </c>
      <c r="B15" s="153">
        <v>2072</v>
      </c>
      <c r="C15" s="152" t="s">
        <v>367</v>
      </c>
      <c r="D15" s="133">
        <v>100000</v>
      </c>
      <c r="E15" s="133">
        <v>100000</v>
      </c>
      <c r="F15" s="133">
        <v>0</v>
      </c>
      <c r="G15" s="133">
        <v>100000</v>
      </c>
      <c r="H15" s="133">
        <v>33398</v>
      </c>
      <c r="I15" s="133">
        <v>0</v>
      </c>
      <c r="J15" s="133">
        <v>0</v>
      </c>
      <c r="K15" s="133">
        <v>0</v>
      </c>
      <c r="L15" s="133">
        <v>33398</v>
      </c>
      <c r="M15" s="133">
        <v>6602</v>
      </c>
      <c r="N15" s="133">
        <v>60000</v>
      </c>
      <c r="O15" s="133">
        <v>0</v>
      </c>
      <c r="P15" s="133">
        <v>66602</v>
      </c>
      <c r="Q15" s="133"/>
      <c r="R15" s="133"/>
      <c r="S15" s="133">
        <v>0</v>
      </c>
      <c r="T15" s="133">
        <v>60000</v>
      </c>
      <c r="U15" s="133">
        <v>0</v>
      </c>
      <c r="V15" s="133">
        <v>0</v>
      </c>
      <c r="W15" s="133"/>
      <c r="X15" s="133"/>
      <c r="Y15" s="133"/>
      <c r="Z15" s="133"/>
      <c r="AA15" s="152"/>
      <c r="AB15" s="326" t="s">
        <v>334</v>
      </c>
      <c r="AC15" s="152">
        <v>930000</v>
      </c>
      <c r="AD15" s="165"/>
      <c r="AE15" s="165"/>
      <c r="AF15" s="251"/>
    </row>
    <row r="16" spans="1:32" s="151" customFormat="1" ht="30" customHeight="1">
      <c r="A16" s="152">
        <f t="shared" si="0"/>
        <v>12</v>
      </c>
      <c r="B16" s="153">
        <v>2223</v>
      </c>
      <c r="C16" s="152" t="s">
        <v>500</v>
      </c>
      <c r="D16" s="133">
        <v>600000</v>
      </c>
      <c r="E16" s="133">
        <v>600000</v>
      </c>
      <c r="F16" s="133">
        <v>0</v>
      </c>
      <c r="G16" s="133">
        <v>300000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300000</v>
      </c>
      <c r="N16" s="133">
        <v>300000</v>
      </c>
      <c r="O16" s="133">
        <v>0</v>
      </c>
      <c r="P16" s="133">
        <v>300000</v>
      </c>
      <c r="Q16" s="133"/>
      <c r="R16" s="133"/>
      <c r="S16" s="133">
        <v>0</v>
      </c>
      <c r="T16" s="133">
        <v>0</v>
      </c>
      <c r="U16" s="133">
        <v>300000</v>
      </c>
      <c r="V16" s="133">
        <v>300000</v>
      </c>
      <c r="W16" s="133"/>
      <c r="X16" s="133"/>
      <c r="Y16" s="133"/>
      <c r="Z16" s="133"/>
      <c r="AA16" s="152"/>
      <c r="AB16" s="326" t="s">
        <v>501</v>
      </c>
      <c r="AC16" s="152">
        <v>930000</v>
      </c>
      <c r="AD16" s="165"/>
      <c r="AE16" s="165"/>
      <c r="AF16" s="251"/>
    </row>
    <row r="17" spans="1:49" s="6" customFormat="1" ht="30" customHeight="1">
      <c r="A17" s="7">
        <f>A16</f>
        <v>12</v>
      </c>
      <c r="B17" s="29"/>
      <c r="C17" s="29" t="s">
        <v>317</v>
      </c>
      <c r="D17" s="8">
        <v>121909000</v>
      </c>
      <c r="E17" s="8">
        <v>121909000</v>
      </c>
      <c r="F17" s="8">
        <v>0</v>
      </c>
      <c r="G17" s="8">
        <v>57501825</v>
      </c>
      <c r="H17" s="8">
        <v>41310164</v>
      </c>
      <c r="I17" s="8">
        <v>280567</v>
      </c>
      <c r="J17" s="8">
        <v>589240</v>
      </c>
      <c r="K17" s="8">
        <v>869807</v>
      </c>
      <c r="L17" s="8">
        <v>42179971</v>
      </c>
      <c r="M17" s="8">
        <v>3551854</v>
      </c>
      <c r="N17" s="8">
        <v>13060000</v>
      </c>
      <c r="O17" s="8">
        <v>63117175</v>
      </c>
      <c r="P17" s="8">
        <v>15321854</v>
      </c>
      <c r="Q17" s="8">
        <v>990000</v>
      </c>
      <c r="R17" s="8">
        <v>0</v>
      </c>
      <c r="S17" s="8">
        <v>990000</v>
      </c>
      <c r="T17" s="8">
        <v>12760000</v>
      </c>
      <c r="U17" s="8">
        <v>300000</v>
      </c>
      <c r="V17" s="8">
        <v>300000</v>
      </c>
      <c r="W17" s="8">
        <f t="shared" ref="W17:AA17" si="1">SUM(W5:W16)</f>
        <v>0</v>
      </c>
      <c r="X17" s="8">
        <f t="shared" si="1"/>
        <v>0</v>
      </c>
      <c r="Y17" s="8">
        <f t="shared" si="1"/>
        <v>0</v>
      </c>
      <c r="Z17" s="8">
        <f t="shared" si="1"/>
        <v>0</v>
      </c>
      <c r="AA17" s="8">
        <f t="shared" si="1"/>
        <v>0</v>
      </c>
      <c r="AB17" s="7"/>
      <c r="AC17" s="7"/>
      <c r="AD17" s="165"/>
      <c r="AE17" s="165"/>
      <c r="AF17" s="184"/>
      <c r="AG17" s="463"/>
      <c r="AH17" s="463"/>
      <c r="AI17" s="463"/>
      <c r="AJ17" s="463"/>
      <c r="AK17" s="463"/>
      <c r="AL17" s="463"/>
      <c r="AM17" s="463"/>
      <c r="AN17" s="463"/>
      <c r="AO17" s="463"/>
      <c r="AP17" s="463"/>
      <c r="AQ17" s="463"/>
      <c r="AR17" s="463"/>
      <c r="AS17" s="463"/>
      <c r="AT17" s="463"/>
      <c r="AU17" s="463"/>
      <c r="AV17" s="463"/>
      <c r="AW17" s="463"/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9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showZeros="0" rightToLeft="1" tabSelected="1" topLeftCell="A7" zoomScaleNormal="100" workbookViewId="0">
      <selection activeCell="M31" sqref="M31"/>
    </sheetView>
  </sheetViews>
  <sheetFormatPr defaultColWidth="9.109375" defaultRowHeight="13.8"/>
  <cols>
    <col min="1" max="3" width="4.109375" style="191" customWidth="1"/>
    <col min="4" max="4" width="34.88671875" style="191" customWidth="1"/>
    <col min="5" max="5" width="30.44140625" style="191" customWidth="1"/>
    <col min="6" max="6" width="10.88671875" style="191" customWidth="1"/>
    <col min="7" max="16384" width="9.109375" style="191"/>
  </cols>
  <sheetData>
    <row r="3" spans="1:8" ht="21">
      <c r="A3" s="190"/>
      <c r="C3" s="192" t="s">
        <v>213</v>
      </c>
      <c r="D3" s="190"/>
      <c r="E3" s="190"/>
      <c r="F3" s="190"/>
    </row>
    <row r="4" spans="1:8" ht="21">
      <c r="A4" s="190"/>
      <c r="C4" s="192"/>
      <c r="D4" s="190"/>
      <c r="E4" s="190"/>
      <c r="F4" s="190"/>
    </row>
    <row r="5" spans="1:8" ht="21.6" thickBot="1">
      <c r="A5" s="190"/>
      <c r="C5" s="192"/>
      <c r="D5" s="190"/>
      <c r="E5" s="190"/>
      <c r="F5" s="190"/>
    </row>
    <row r="6" spans="1:8" ht="16.2" thickBot="1">
      <c r="A6" s="190"/>
      <c r="B6" s="193" t="s">
        <v>136</v>
      </c>
      <c r="C6" s="190" t="s">
        <v>1444</v>
      </c>
      <c r="D6" s="190"/>
      <c r="E6" s="190"/>
      <c r="F6" s="194">
        <v>4874940</v>
      </c>
    </row>
    <row r="7" spans="1:8" ht="15.6">
      <c r="B7" s="193"/>
      <c r="C7" s="190"/>
      <c r="D7" s="190"/>
      <c r="E7" s="190"/>
      <c r="F7" s="190"/>
      <c r="G7" s="190"/>
      <c r="H7" s="190"/>
    </row>
    <row r="8" spans="1:8" ht="15.6">
      <c r="B8" s="193" t="s">
        <v>136</v>
      </c>
      <c r="C8" s="190" t="s">
        <v>231</v>
      </c>
      <c r="D8" s="190"/>
      <c r="E8" s="190"/>
      <c r="F8" s="190"/>
    </row>
    <row r="9" spans="1:8" ht="16.2" thickBot="1">
      <c r="B9" s="190"/>
      <c r="C9" s="190"/>
      <c r="D9" s="190"/>
      <c r="E9" s="190"/>
      <c r="F9" s="190"/>
      <c r="G9" s="190"/>
      <c r="H9" s="190"/>
    </row>
    <row r="10" spans="1:8" ht="15.6">
      <c r="D10" s="203" t="s">
        <v>232</v>
      </c>
      <c r="E10" s="204" t="s">
        <v>233</v>
      </c>
      <c r="F10" s="205" t="s">
        <v>234</v>
      </c>
      <c r="G10" s="190"/>
      <c r="H10" s="190"/>
    </row>
    <row r="11" spans="1:8" ht="15.6">
      <c r="C11" s="193"/>
      <c r="D11" s="197" t="s">
        <v>13</v>
      </c>
      <c r="E11" s="206">
        <v>-417695</v>
      </c>
      <c r="F11" s="214">
        <v>-8.5682080189704898E-2</v>
      </c>
      <c r="G11" s="190"/>
      <c r="H11" s="190"/>
    </row>
    <row r="12" spans="1:8" ht="15.6">
      <c r="C12" s="193"/>
      <c r="D12" s="197" t="s">
        <v>14</v>
      </c>
      <c r="E12" s="206">
        <v>5245939</v>
      </c>
      <c r="F12" s="214">
        <v>1.0761032956303052</v>
      </c>
      <c r="G12" s="190"/>
      <c r="H12" s="190"/>
    </row>
    <row r="13" spans="1:8" ht="15.6">
      <c r="C13" s="193"/>
      <c r="D13" s="210" t="s">
        <v>79</v>
      </c>
      <c r="E13" s="268">
        <v>46696</v>
      </c>
      <c r="F13" s="214">
        <v>9.5787845593997053E-3</v>
      </c>
      <c r="G13" s="190"/>
      <c r="H13" s="190"/>
    </row>
    <row r="14" spans="1:8" ht="16.2" thickBot="1">
      <c r="C14" s="193"/>
      <c r="D14" s="200" t="s">
        <v>88</v>
      </c>
      <c r="E14" s="208">
        <v>4874940</v>
      </c>
      <c r="F14" s="280">
        <v>1</v>
      </c>
      <c r="G14" s="190"/>
      <c r="H14" s="190"/>
    </row>
    <row r="15" spans="1:8" ht="15.6">
      <c r="C15" s="193"/>
      <c r="D15" s="196"/>
      <c r="E15" s="217"/>
      <c r="F15" s="218"/>
      <c r="G15" s="190"/>
      <c r="H15" s="190"/>
    </row>
    <row r="16" spans="1:8" ht="15.6">
      <c r="C16" s="193"/>
      <c r="D16" s="196"/>
      <c r="E16" s="217"/>
      <c r="F16" s="218"/>
      <c r="G16" s="190"/>
      <c r="H16" s="190"/>
    </row>
    <row r="17" spans="1:17" ht="15.6">
      <c r="B17" s="193"/>
      <c r="C17" s="190"/>
      <c r="D17" s="190"/>
      <c r="E17" s="190"/>
      <c r="F17" s="190"/>
    </row>
    <row r="18" spans="1:17" ht="15.6">
      <c r="B18" s="193" t="s">
        <v>136</v>
      </c>
      <c r="C18" s="190" t="s">
        <v>1247</v>
      </c>
      <c r="D18" s="190"/>
      <c r="F18" s="190"/>
      <c r="G18" s="190"/>
      <c r="H18" s="190"/>
    </row>
    <row r="19" spans="1:17" ht="15.6">
      <c r="C19" s="190" t="s">
        <v>398</v>
      </c>
      <c r="D19" s="190"/>
      <c r="E19" s="190"/>
      <c r="F19" s="190"/>
    </row>
    <row r="20" spans="1:17" ht="15.6">
      <c r="B20" s="193"/>
      <c r="C20" s="190" t="s">
        <v>249</v>
      </c>
      <c r="D20" s="190"/>
      <c r="E20" s="190"/>
      <c r="F20" s="190"/>
      <c r="G20" s="190"/>
      <c r="H20" s="190"/>
    </row>
    <row r="21" spans="1:17" ht="15.6">
      <c r="B21" s="193"/>
      <c r="C21" s="190"/>
      <c r="D21" s="190"/>
      <c r="E21" s="190"/>
      <c r="F21" s="190"/>
      <c r="G21" s="190"/>
      <c r="H21" s="190"/>
    </row>
    <row r="22" spans="1:17" ht="15.6">
      <c r="A22" s="190"/>
      <c r="B22" s="193" t="s">
        <v>136</v>
      </c>
      <c r="C22" s="190" t="s">
        <v>1265</v>
      </c>
      <c r="E22" s="190"/>
      <c r="F22" s="190"/>
      <c r="G22" s="190"/>
      <c r="H22" s="190"/>
      <c r="I22" s="190"/>
      <c r="J22" s="190"/>
      <c r="K22" s="190"/>
      <c r="L22" s="190"/>
    </row>
    <row r="23" spans="1:17" ht="15.6">
      <c r="C23" s="277"/>
      <c r="D23" s="279"/>
    </row>
    <row r="25" spans="1:17" s="284" customFormat="1" ht="15.6">
      <c r="C25" s="285" t="s">
        <v>136</v>
      </c>
      <c r="D25" s="286" t="s">
        <v>1422</v>
      </c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</row>
    <row r="28" spans="1:17" s="263" customFormat="1" ht="15.6">
      <c r="C28" s="265" t="s">
        <v>136</v>
      </c>
      <c r="D28" s="262" t="s">
        <v>606</v>
      </c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263" customFormat="1" ht="15.6">
      <c r="C29" s="265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263" customFormat="1" ht="15.6">
      <c r="A30" s="262"/>
      <c r="B30" s="262"/>
      <c r="C30" s="262"/>
      <c r="D30" s="658" t="s">
        <v>1529</v>
      </c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263" customFormat="1" ht="15.6">
      <c r="A31" s="262"/>
      <c r="B31" s="262"/>
      <c r="C31" s="262"/>
      <c r="D31" s="659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43" spans="3:3">
      <c r="C43" s="278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0"/>
  <sheetViews>
    <sheetView showZeros="0" rightToLeft="1" tabSelected="1" zoomScaleNormal="100" workbookViewId="0">
      <pane xSplit="3" ySplit="4" topLeftCell="D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8"/>
  <cols>
    <col min="1" max="1" width="3.77734375" style="237" customWidth="1"/>
    <col min="2" max="2" width="5.77734375" style="147" customWidth="1"/>
    <col min="3" max="3" width="24.88671875" style="147" customWidth="1"/>
    <col min="4" max="4" width="10.77734375" style="148" customWidth="1"/>
    <col min="5" max="5" width="10.109375" style="148" customWidth="1"/>
    <col min="6" max="6" width="8.33203125" style="148" customWidth="1"/>
    <col min="7" max="7" width="11.109375" style="148" hidden="1" customWidth="1"/>
    <col min="8" max="8" width="10.109375" style="148" hidden="1" customWidth="1"/>
    <col min="9" max="9" width="6.6640625" style="148" hidden="1" customWidth="1"/>
    <col min="10" max="11" width="9.109375" style="148" hidden="1" customWidth="1"/>
    <col min="12" max="15" width="9.77734375" style="148" customWidth="1"/>
    <col min="16" max="16" width="10.109375" style="148" hidden="1" customWidth="1"/>
    <col min="17" max="18" width="13.5546875" style="148" hidden="1" customWidth="1"/>
    <col min="19" max="19" width="8.44140625" style="148" hidden="1" customWidth="1"/>
    <col min="20" max="20" width="8.77734375" style="148" customWidth="1"/>
    <col min="21" max="22" width="8.77734375" style="147" customWidth="1"/>
    <col min="23" max="23" width="8.5546875" style="147" bestFit="1" customWidth="1"/>
    <col min="24" max="24" width="6.44140625" style="147" hidden="1" customWidth="1"/>
    <col min="25" max="25" width="7.44140625" style="147" hidden="1" customWidth="1"/>
    <col min="26" max="26" width="7.88671875" style="147" hidden="1" customWidth="1"/>
    <col min="27" max="27" width="9.77734375" style="147" customWidth="1"/>
    <col min="28" max="28" width="31.5546875" style="162" hidden="1" customWidth="1"/>
    <col min="29" max="29" width="7" style="147" hidden="1" customWidth="1"/>
    <col min="30" max="30" width="18.6640625" style="235" customWidth="1"/>
    <col min="31" max="31" width="33.33203125" style="235" customWidth="1"/>
    <col min="32" max="32" width="34" style="235" customWidth="1"/>
    <col min="33" max="33" width="24.5546875" style="235" customWidth="1"/>
    <col min="34" max="34" width="9.109375" style="147"/>
    <col min="35" max="35" width="7.5546875" style="249" bestFit="1" customWidth="1"/>
    <col min="36" max="16384" width="9.109375" style="147"/>
  </cols>
  <sheetData>
    <row r="1" spans="1:35" s="235" customFormat="1">
      <c r="A1" s="639"/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252"/>
      <c r="Y1" s="252"/>
      <c r="Z1" s="252"/>
      <c r="AB1" s="236"/>
      <c r="AI1" s="249"/>
    </row>
    <row r="2" spans="1:35">
      <c r="A2" s="234" t="s">
        <v>213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4" spans="1:35" s="249" customFormat="1" ht="69">
      <c r="A4" s="167" t="s">
        <v>0</v>
      </c>
      <c r="B4" s="167" t="s">
        <v>1</v>
      </c>
      <c r="C4" s="167" t="s">
        <v>2</v>
      </c>
      <c r="D4" s="167" t="s">
        <v>3</v>
      </c>
      <c r="E4" s="167" t="s">
        <v>4</v>
      </c>
      <c r="F4" s="167" t="s">
        <v>5</v>
      </c>
      <c r="G4" s="167" t="s">
        <v>6</v>
      </c>
      <c r="H4" s="167" t="s">
        <v>7</v>
      </c>
      <c r="I4" s="167" t="s">
        <v>9</v>
      </c>
      <c r="J4" s="167" t="s">
        <v>132</v>
      </c>
      <c r="K4" s="167" t="s">
        <v>10</v>
      </c>
      <c r="L4" s="167" t="s">
        <v>11</v>
      </c>
      <c r="M4" s="167" t="s">
        <v>875</v>
      </c>
      <c r="N4" s="167" t="s">
        <v>876</v>
      </c>
      <c r="O4" s="9" t="s">
        <v>877</v>
      </c>
      <c r="P4" s="9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167" t="s">
        <v>13</v>
      </c>
      <c r="W4" s="167" t="s">
        <v>14</v>
      </c>
      <c r="X4" s="167" t="s">
        <v>15</v>
      </c>
      <c r="Y4" s="167" t="s">
        <v>225</v>
      </c>
      <c r="Z4" s="167" t="s">
        <v>575</v>
      </c>
      <c r="AA4" s="167" t="s">
        <v>79</v>
      </c>
      <c r="AB4" s="389" t="s">
        <v>257</v>
      </c>
      <c r="AC4" s="167" t="s">
        <v>16</v>
      </c>
      <c r="AD4" s="235"/>
      <c r="AE4" s="235"/>
      <c r="AF4" s="235"/>
      <c r="AG4" s="235"/>
    </row>
    <row r="5" spans="1:35" s="5" customFormat="1" ht="25.05" customHeight="1">
      <c r="A5" s="3">
        <v>1</v>
      </c>
      <c r="B5" s="3">
        <v>529</v>
      </c>
      <c r="C5" s="152" t="s">
        <v>60</v>
      </c>
      <c r="D5" s="133">
        <v>700000</v>
      </c>
      <c r="E5" s="133">
        <v>700000</v>
      </c>
      <c r="F5" s="133">
        <v>0</v>
      </c>
      <c r="G5" s="133">
        <v>700000</v>
      </c>
      <c r="H5" s="133">
        <v>511921</v>
      </c>
      <c r="I5" s="133">
        <v>0</v>
      </c>
      <c r="J5" s="133">
        <v>0</v>
      </c>
      <c r="K5" s="133">
        <v>0</v>
      </c>
      <c r="L5" s="133">
        <v>511921</v>
      </c>
      <c r="M5" s="133">
        <v>8079</v>
      </c>
      <c r="N5" s="133">
        <v>180000</v>
      </c>
      <c r="O5" s="133">
        <v>0</v>
      </c>
      <c r="P5" s="133">
        <v>188079</v>
      </c>
      <c r="Q5" s="133"/>
      <c r="R5" s="133"/>
      <c r="S5" s="133">
        <v>0</v>
      </c>
      <c r="T5" s="133">
        <v>180000</v>
      </c>
      <c r="U5" s="133">
        <v>0</v>
      </c>
      <c r="V5" s="133">
        <v>0</v>
      </c>
      <c r="W5" s="133"/>
      <c r="X5" s="133"/>
      <c r="Y5" s="133"/>
      <c r="Z5" s="133"/>
      <c r="AA5" s="133"/>
      <c r="AB5" s="153" t="s">
        <v>1420</v>
      </c>
      <c r="AC5" s="3">
        <v>840000</v>
      </c>
      <c r="AD5" s="235"/>
      <c r="AE5" s="235"/>
      <c r="AF5" s="235"/>
      <c r="AG5" s="235"/>
      <c r="AI5" s="249"/>
    </row>
    <row r="6" spans="1:35" s="5" customFormat="1" ht="25.05" customHeight="1">
      <c r="A6" s="153">
        <f>A5+1</f>
        <v>2</v>
      </c>
      <c r="B6" s="3">
        <v>1032</v>
      </c>
      <c r="C6" s="152" t="s">
        <v>122</v>
      </c>
      <c r="D6" s="133">
        <v>40500000</v>
      </c>
      <c r="E6" s="133">
        <v>40500000</v>
      </c>
      <c r="F6" s="133">
        <v>0</v>
      </c>
      <c r="G6" s="133">
        <v>34862968</v>
      </c>
      <c r="H6" s="133">
        <v>32843480</v>
      </c>
      <c r="I6" s="133">
        <v>0</v>
      </c>
      <c r="J6" s="133">
        <v>604751</v>
      </c>
      <c r="K6" s="133">
        <v>604751</v>
      </c>
      <c r="L6" s="133">
        <v>33448231</v>
      </c>
      <c r="M6" s="133">
        <v>1414737</v>
      </c>
      <c r="N6" s="133">
        <v>3000000</v>
      </c>
      <c r="O6" s="133">
        <v>2637032</v>
      </c>
      <c r="P6" s="133">
        <v>1414737</v>
      </c>
      <c r="Q6" s="133"/>
      <c r="R6" s="133"/>
      <c r="S6" s="133">
        <v>0</v>
      </c>
      <c r="T6" s="133">
        <v>0</v>
      </c>
      <c r="U6" s="133">
        <v>3000000</v>
      </c>
      <c r="V6" s="133"/>
      <c r="W6" s="133">
        <v>3000000</v>
      </c>
      <c r="X6" s="133"/>
      <c r="Y6" s="133"/>
      <c r="Z6" s="133"/>
      <c r="AA6" s="133"/>
      <c r="AB6" s="153" t="s">
        <v>767</v>
      </c>
      <c r="AC6" s="3">
        <v>742000</v>
      </c>
      <c r="AD6" s="235"/>
      <c r="AE6" s="235"/>
      <c r="AF6" s="235"/>
      <c r="AG6" s="235"/>
      <c r="AI6" s="249"/>
    </row>
    <row r="7" spans="1:35" s="157" customFormat="1" ht="25.05" customHeight="1">
      <c r="A7" s="153">
        <f t="shared" ref="A7:A14" si="0">A6+1</f>
        <v>3</v>
      </c>
      <c r="B7" s="153">
        <v>1130</v>
      </c>
      <c r="C7" s="152" t="s">
        <v>32</v>
      </c>
      <c r="D7" s="133">
        <v>16000000</v>
      </c>
      <c r="E7" s="133">
        <v>16000000</v>
      </c>
      <c r="F7" s="133">
        <v>0</v>
      </c>
      <c r="G7" s="133">
        <v>15081894</v>
      </c>
      <c r="H7" s="133">
        <v>14325698</v>
      </c>
      <c r="I7" s="133">
        <v>0</v>
      </c>
      <c r="J7" s="133">
        <v>649491</v>
      </c>
      <c r="K7" s="133">
        <v>649491</v>
      </c>
      <c r="L7" s="133">
        <v>14975189</v>
      </c>
      <c r="M7" s="133">
        <v>306705</v>
      </c>
      <c r="N7" s="133">
        <v>400000</v>
      </c>
      <c r="O7" s="133">
        <v>318106</v>
      </c>
      <c r="P7" s="133">
        <v>106705</v>
      </c>
      <c r="Q7" s="133"/>
      <c r="R7" s="133">
        <v>200000</v>
      </c>
      <c r="S7" s="133">
        <v>200000</v>
      </c>
      <c r="T7" s="133">
        <v>0</v>
      </c>
      <c r="U7" s="133">
        <v>400000</v>
      </c>
      <c r="V7" s="133">
        <v>0</v>
      </c>
      <c r="W7" s="133">
        <v>400000</v>
      </c>
      <c r="X7" s="133"/>
      <c r="Y7" s="133"/>
      <c r="Z7" s="133"/>
      <c r="AA7" s="133"/>
      <c r="AB7" s="153" t="s">
        <v>1421</v>
      </c>
      <c r="AC7" s="153">
        <v>742000</v>
      </c>
      <c r="AD7" s="235"/>
      <c r="AE7" s="235"/>
      <c r="AF7" s="235"/>
      <c r="AG7" s="235"/>
      <c r="AI7" s="249"/>
    </row>
    <row r="8" spans="1:35" s="157" customFormat="1" ht="25.05" customHeight="1">
      <c r="A8" s="153">
        <f t="shared" si="0"/>
        <v>4</v>
      </c>
      <c r="B8" s="153">
        <v>1259</v>
      </c>
      <c r="C8" s="152" t="s">
        <v>53</v>
      </c>
      <c r="D8" s="133">
        <v>5510000</v>
      </c>
      <c r="E8" s="133">
        <v>5460000</v>
      </c>
      <c r="F8" s="133">
        <v>50000</v>
      </c>
      <c r="G8" s="133">
        <v>4810000</v>
      </c>
      <c r="H8" s="133">
        <v>4594915</v>
      </c>
      <c r="I8" s="133">
        <v>0</v>
      </c>
      <c r="J8" s="133">
        <v>214530</v>
      </c>
      <c r="K8" s="133">
        <v>214530</v>
      </c>
      <c r="L8" s="133">
        <v>4809445</v>
      </c>
      <c r="M8" s="133">
        <v>200555</v>
      </c>
      <c r="N8" s="133">
        <v>500000</v>
      </c>
      <c r="O8" s="133">
        <v>0</v>
      </c>
      <c r="P8" s="133">
        <v>555</v>
      </c>
      <c r="Q8" s="133">
        <v>200000</v>
      </c>
      <c r="R8" s="133"/>
      <c r="S8" s="133">
        <v>200000</v>
      </c>
      <c r="T8" s="133">
        <v>0</v>
      </c>
      <c r="U8" s="133">
        <v>500000</v>
      </c>
      <c r="V8" s="133">
        <v>0</v>
      </c>
      <c r="W8" s="133">
        <v>500000</v>
      </c>
      <c r="X8" s="133"/>
      <c r="Y8" s="133"/>
      <c r="Z8" s="133"/>
      <c r="AA8" s="133"/>
      <c r="AB8" s="153" t="s">
        <v>252</v>
      </c>
      <c r="AC8" s="153">
        <v>760000</v>
      </c>
      <c r="AD8" s="235"/>
      <c r="AE8" s="235"/>
      <c r="AF8" s="235"/>
      <c r="AG8" s="235"/>
      <c r="AI8" s="249"/>
    </row>
    <row r="9" spans="1:35" s="157" customFormat="1" ht="25.05" customHeight="1">
      <c r="A9" s="153">
        <f t="shared" si="0"/>
        <v>5</v>
      </c>
      <c r="B9" s="153">
        <v>1260</v>
      </c>
      <c r="C9" s="152" t="s">
        <v>54</v>
      </c>
      <c r="D9" s="133">
        <v>9858000</v>
      </c>
      <c r="E9" s="133">
        <v>9608000</v>
      </c>
      <c r="F9" s="133">
        <v>250000</v>
      </c>
      <c r="G9" s="133">
        <v>9108000</v>
      </c>
      <c r="H9" s="133">
        <v>8981157</v>
      </c>
      <c r="I9" s="133">
        <v>0</v>
      </c>
      <c r="J9" s="133">
        <v>124521</v>
      </c>
      <c r="K9" s="133">
        <v>124521</v>
      </c>
      <c r="L9" s="133">
        <v>9105678</v>
      </c>
      <c r="M9" s="133">
        <v>252322</v>
      </c>
      <c r="N9" s="133">
        <v>500000</v>
      </c>
      <c r="O9" s="133">
        <v>0</v>
      </c>
      <c r="P9" s="133">
        <v>2322</v>
      </c>
      <c r="Q9" s="133">
        <v>250000</v>
      </c>
      <c r="R9" s="133"/>
      <c r="S9" s="133">
        <v>250000</v>
      </c>
      <c r="T9" s="133">
        <v>0</v>
      </c>
      <c r="U9" s="133">
        <v>500000</v>
      </c>
      <c r="V9" s="133">
        <v>0</v>
      </c>
      <c r="W9" s="133">
        <v>500000</v>
      </c>
      <c r="X9" s="133"/>
      <c r="Y9" s="133"/>
      <c r="Z9" s="133"/>
      <c r="AA9" s="133"/>
      <c r="AB9" s="153" t="s">
        <v>253</v>
      </c>
      <c r="AC9" s="153">
        <v>760000</v>
      </c>
      <c r="AD9" s="235"/>
      <c r="AE9" s="235"/>
      <c r="AF9" s="235"/>
      <c r="AG9" s="235"/>
      <c r="AI9" s="249"/>
    </row>
    <row r="10" spans="1:35" s="157" customFormat="1" ht="25.05" customHeight="1">
      <c r="A10" s="153">
        <f t="shared" si="0"/>
        <v>6</v>
      </c>
      <c r="B10" s="153">
        <v>1422</v>
      </c>
      <c r="C10" s="152" t="s">
        <v>55</v>
      </c>
      <c r="D10" s="133">
        <v>30257000</v>
      </c>
      <c r="E10" s="133">
        <v>30257000</v>
      </c>
      <c r="F10" s="133">
        <v>0</v>
      </c>
      <c r="G10" s="133">
        <v>14182000</v>
      </c>
      <c r="H10" s="133">
        <v>7257000</v>
      </c>
      <c r="I10" s="133">
        <v>0</v>
      </c>
      <c r="J10" s="133">
        <v>0</v>
      </c>
      <c r="K10" s="133">
        <v>0</v>
      </c>
      <c r="L10" s="133">
        <v>7257000</v>
      </c>
      <c r="M10" s="133">
        <v>6925000</v>
      </c>
      <c r="N10" s="133"/>
      <c r="O10" s="133">
        <v>16075000</v>
      </c>
      <c r="P10" s="133">
        <v>6925000</v>
      </c>
      <c r="Q10" s="133"/>
      <c r="R10" s="133"/>
      <c r="S10" s="133">
        <v>0</v>
      </c>
      <c r="T10" s="133">
        <v>0</v>
      </c>
      <c r="U10" s="133">
        <v>0</v>
      </c>
      <c r="V10" s="133">
        <v>0</v>
      </c>
      <c r="W10" s="133"/>
      <c r="X10" s="133"/>
      <c r="Y10" s="133"/>
      <c r="Z10" s="133"/>
      <c r="AA10" s="133"/>
      <c r="AB10" s="153" t="s">
        <v>328</v>
      </c>
      <c r="AC10" s="153">
        <v>730000</v>
      </c>
      <c r="AD10" s="235"/>
      <c r="AE10" s="235"/>
      <c r="AF10" s="235"/>
      <c r="AG10" s="235"/>
      <c r="AI10" s="249"/>
    </row>
    <row r="11" spans="1:35" s="157" customFormat="1" ht="25.05" customHeight="1">
      <c r="A11" s="153">
        <f t="shared" si="0"/>
        <v>7</v>
      </c>
      <c r="B11" s="153">
        <v>1688</v>
      </c>
      <c r="C11" s="152" t="s">
        <v>56</v>
      </c>
      <c r="D11" s="133">
        <v>15133000</v>
      </c>
      <c r="E11" s="133">
        <v>15133000</v>
      </c>
      <c r="F11" s="133">
        <v>0</v>
      </c>
      <c r="G11" s="133">
        <v>15133000</v>
      </c>
      <c r="H11" s="133">
        <v>15133000</v>
      </c>
      <c r="I11" s="133">
        <v>0</v>
      </c>
      <c r="J11" s="133">
        <v>0</v>
      </c>
      <c r="K11" s="133">
        <v>0</v>
      </c>
      <c r="L11" s="133">
        <v>15133000</v>
      </c>
      <c r="M11" s="133">
        <v>0</v>
      </c>
      <c r="N11" s="133"/>
      <c r="O11" s="133">
        <v>0</v>
      </c>
      <c r="P11" s="133">
        <v>0</v>
      </c>
      <c r="Q11" s="133"/>
      <c r="R11" s="133"/>
      <c r="S11" s="133">
        <v>0</v>
      </c>
      <c r="T11" s="133">
        <v>0</v>
      </c>
      <c r="U11" s="133">
        <v>0</v>
      </c>
      <c r="V11" s="133">
        <v>0</v>
      </c>
      <c r="W11" s="133"/>
      <c r="X11" s="133"/>
      <c r="Y11" s="133"/>
      <c r="Z11" s="133"/>
      <c r="AA11" s="133"/>
      <c r="AB11" s="153" t="s">
        <v>329</v>
      </c>
      <c r="AC11" s="153">
        <v>990000</v>
      </c>
      <c r="AD11" s="235"/>
      <c r="AE11" s="235"/>
      <c r="AF11" s="235"/>
      <c r="AG11" s="235"/>
      <c r="AI11" s="249"/>
    </row>
    <row r="12" spans="1:35" s="157" customFormat="1" ht="28.2" customHeight="1">
      <c r="A12" s="153">
        <f t="shared" si="0"/>
        <v>8</v>
      </c>
      <c r="B12" s="153">
        <v>2100</v>
      </c>
      <c r="C12" s="152" t="s">
        <v>327</v>
      </c>
      <c r="D12" s="133">
        <v>3161603</v>
      </c>
      <c r="E12" s="133">
        <v>3421663</v>
      </c>
      <c r="F12" s="133">
        <v>-260060</v>
      </c>
      <c r="G12" s="133">
        <v>3576663</v>
      </c>
      <c r="H12" s="133">
        <v>3111033</v>
      </c>
      <c r="I12" s="133">
        <v>0</v>
      </c>
      <c r="J12" s="133">
        <v>23384</v>
      </c>
      <c r="K12" s="133">
        <v>23384</v>
      </c>
      <c r="L12" s="133">
        <v>3134417</v>
      </c>
      <c r="M12" s="133">
        <v>24551</v>
      </c>
      <c r="N12" s="133"/>
      <c r="O12" s="133">
        <v>2635</v>
      </c>
      <c r="P12" s="133">
        <v>442246</v>
      </c>
      <c r="Q12" s="133"/>
      <c r="R12" s="133"/>
      <c r="S12" s="133">
        <v>0</v>
      </c>
      <c r="T12" s="133">
        <v>417695</v>
      </c>
      <c r="U12" s="133">
        <v>-417695</v>
      </c>
      <c r="V12" s="133">
        <v>-417695</v>
      </c>
      <c r="W12" s="133">
        <v>0</v>
      </c>
      <c r="X12" s="133"/>
      <c r="Y12" s="133"/>
      <c r="Z12" s="133"/>
      <c r="AA12" s="133"/>
      <c r="AB12" s="153" t="s">
        <v>835</v>
      </c>
      <c r="AC12" s="153">
        <v>742000</v>
      </c>
      <c r="AD12" s="235"/>
      <c r="AE12" s="235"/>
      <c r="AF12" s="235"/>
      <c r="AG12" s="235"/>
      <c r="AI12" s="249"/>
    </row>
    <row r="13" spans="1:35" s="5" customFormat="1" ht="29.4" customHeight="1">
      <c r="A13" s="153">
        <f t="shared" si="0"/>
        <v>9</v>
      </c>
      <c r="B13" s="28">
        <v>2222</v>
      </c>
      <c r="C13" s="152" t="s">
        <v>1530</v>
      </c>
      <c r="D13" s="133">
        <v>8000000</v>
      </c>
      <c r="E13" s="133">
        <v>8000000</v>
      </c>
      <c r="F13" s="133">
        <v>0</v>
      </c>
      <c r="G13" s="133">
        <v>8000000</v>
      </c>
      <c r="H13" s="133">
        <v>2172946</v>
      </c>
      <c r="I13" s="133">
        <v>0</v>
      </c>
      <c r="J13" s="133">
        <v>1217798</v>
      </c>
      <c r="K13" s="133">
        <v>1217798</v>
      </c>
      <c r="L13" s="133">
        <v>3390744</v>
      </c>
      <c r="M13" s="133">
        <v>1051891</v>
      </c>
      <c r="N13" s="133"/>
      <c r="O13" s="133">
        <v>3557365</v>
      </c>
      <c r="P13" s="133">
        <v>4609256</v>
      </c>
      <c r="Q13" s="133"/>
      <c r="R13" s="133"/>
      <c r="S13" s="133">
        <v>0</v>
      </c>
      <c r="T13" s="133">
        <v>3557365</v>
      </c>
      <c r="U13" s="133">
        <v>-3557365</v>
      </c>
      <c r="V13" s="133"/>
      <c r="W13" s="133">
        <v>-3557365</v>
      </c>
      <c r="X13" s="133"/>
      <c r="Y13" s="133"/>
      <c r="Z13" s="133"/>
      <c r="AA13" s="133"/>
      <c r="AB13" s="153" t="s">
        <v>1531</v>
      </c>
      <c r="AC13" s="3">
        <v>742000</v>
      </c>
      <c r="AD13" s="235"/>
      <c r="AE13" s="235"/>
      <c r="AF13" s="235"/>
      <c r="AG13" s="235"/>
      <c r="AI13" s="249"/>
    </row>
    <row r="14" spans="1:35" s="5" customFormat="1" ht="28.2" customHeight="1">
      <c r="A14" s="153">
        <f t="shared" si="0"/>
        <v>10</v>
      </c>
      <c r="B14" s="28">
        <v>20080</v>
      </c>
      <c r="C14" s="232" t="s">
        <v>1532</v>
      </c>
      <c r="D14" s="133">
        <v>8000000</v>
      </c>
      <c r="E14" s="133"/>
      <c r="F14" s="133">
        <v>8000000</v>
      </c>
      <c r="G14" s="133"/>
      <c r="H14" s="133"/>
      <c r="I14" s="133">
        <v>0</v>
      </c>
      <c r="J14" s="133"/>
      <c r="K14" s="133">
        <v>0</v>
      </c>
      <c r="L14" s="133">
        <v>0</v>
      </c>
      <c r="M14" s="133">
        <v>0</v>
      </c>
      <c r="N14" s="133">
        <v>4000000</v>
      </c>
      <c r="O14" s="133">
        <v>4000000</v>
      </c>
      <c r="P14" s="133">
        <v>0</v>
      </c>
      <c r="Q14" s="133"/>
      <c r="R14" s="133"/>
      <c r="S14" s="133">
        <v>0</v>
      </c>
      <c r="T14" s="133">
        <v>0</v>
      </c>
      <c r="U14" s="133">
        <v>4000000</v>
      </c>
      <c r="V14" s="133"/>
      <c r="W14" s="133">
        <v>4000000</v>
      </c>
      <c r="X14" s="133"/>
      <c r="Y14" s="133"/>
      <c r="Z14" s="133"/>
      <c r="AA14" s="133"/>
      <c r="AB14" s="232" t="s">
        <v>1533</v>
      </c>
      <c r="AC14" s="3">
        <v>742000</v>
      </c>
      <c r="AD14" s="235"/>
      <c r="AE14" s="235"/>
      <c r="AF14" s="235"/>
      <c r="AG14" s="235"/>
      <c r="AI14" s="249"/>
    </row>
    <row r="15" spans="1:35" s="331" customFormat="1" ht="25.05" customHeight="1">
      <c r="A15" s="270">
        <f>A14</f>
        <v>10</v>
      </c>
      <c r="B15" s="270"/>
      <c r="C15" s="29" t="s">
        <v>176</v>
      </c>
      <c r="D15" s="330">
        <v>137119603</v>
      </c>
      <c r="E15" s="330">
        <v>129079663</v>
      </c>
      <c r="F15" s="330">
        <v>8039940</v>
      </c>
      <c r="G15" s="330">
        <v>105454525</v>
      </c>
      <c r="H15" s="330">
        <v>88931150</v>
      </c>
      <c r="I15" s="330">
        <v>0</v>
      </c>
      <c r="J15" s="330">
        <v>2834475</v>
      </c>
      <c r="K15" s="330">
        <v>2834475</v>
      </c>
      <c r="L15" s="330">
        <v>91765625</v>
      </c>
      <c r="M15" s="330">
        <v>10183840</v>
      </c>
      <c r="N15" s="330">
        <v>8580000</v>
      </c>
      <c r="O15" s="330">
        <v>26590138</v>
      </c>
      <c r="P15" s="330">
        <v>13688900</v>
      </c>
      <c r="Q15" s="330">
        <v>450000</v>
      </c>
      <c r="R15" s="330">
        <v>200000</v>
      </c>
      <c r="S15" s="330">
        <v>650000</v>
      </c>
      <c r="T15" s="330">
        <v>4155060</v>
      </c>
      <c r="U15" s="330">
        <v>4424940</v>
      </c>
      <c r="V15" s="330">
        <v>-417695</v>
      </c>
      <c r="W15" s="330">
        <v>4842635</v>
      </c>
      <c r="X15" s="330">
        <v>0</v>
      </c>
      <c r="Y15" s="330">
        <v>0</v>
      </c>
      <c r="Z15" s="330">
        <v>0</v>
      </c>
      <c r="AA15" s="330">
        <v>0</v>
      </c>
      <c r="AB15" s="330"/>
      <c r="AC15" s="270"/>
      <c r="AD15" s="235"/>
      <c r="AE15" s="235"/>
      <c r="AF15" s="235"/>
      <c r="AG15" s="235"/>
      <c r="AI15" s="249"/>
    </row>
    <row r="16" spans="1:35" s="331" customFormat="1" ht="25.05" customHeight="1">
      <c r="A16" s="270"/>
      <c r="B16" s="270"/>
      <c r="C16" s="29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270"/>
      <c r="AD16" s="235"/>
      <c r="AE16" s="235"/>
      <c r="AF16" s="235"/>
      <c r="AG16" s="235"/>
      <c r="AI16" s="249"/>
    </row>
    <row r="17" spans="1:48" ht="25.05" hidden="1" customHeight="1">
      <c r="A17" s="602"/>
      <c r="B17" s="163"/>
      <c r="C17" s="163"/>
      <c r="D17" s="427"/>
      <c r="E17" s="427"/>
      <c r="F17" s="427"/>
      <c r="G17" s="427"/>
      <c r="H17" s="427"/>
      <c r="I17" s="427"/>
      <c r="J17" s="427"/>
      <c r="K17" s="427"/>
      <c r="L17" s="427">
        <v>91765625</v>
      </c>
      <c r="M17" s="427">
        <v>10183840</v>
      </c>
      <c r="N17" s="427"/>
      <c r="O17" s="427"/>
      <c r="P17" s="427">
        <v>13688900</v>
      </c>
      <c r="Q17" s="427"/>
      <c r="R17" s="427"/>
      <c r="S17" s="427"/>
      <c r="T17" s="427"/>
      <c r="U17" s="163"/>
      <c r="V17" s="163"/>
      <c r="W17" s="163"/>
      <c r="X17" s="163"/>
      <c r="Y17" s="163"/>
      <c r="Z17" s="163"/>
      <c r="AA17" s="163"/>
      <c r="AB17" s="250"/>
      <c r="AC17" s="163"/>
    </row>
    <row r="18" spans="1:48" s="238" customFormat="1" ht="25.05" customHeight="1">
      <c r="A18" s="241"/>
      <c r="B18" s="241"/>
      <c r="C18" s="412" t="s">
        <v>81</v>
      </c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241"/>
      <c r="V18" s="241"/>
      <c r="W18" s="241"/>
      <c r="X18" s="241"/>
      <c r="Y18" s="241"/>
      <c r="Z18" s="241"/>
      <c r="AA18" s="241"/>
      <c r="AB18" s="153"/>
      <c r="AC18" s="241"/>
      <c r="AD18" s="603"/>
      <c r="AE18" s="603"/>
      <c r="AF18" s="603"/>
      <c r="AG18" s="603"/>
      <c r="AI18" s="249"/>
    </row>
    <row r="19" spans="1:48" s="184" customFormat="1" ht="25.05" customHeight="1">
      <c r="A19" s="3">
        <v>1</v>
      </c>
      <c r="B19" s="3">
        <v>1134</v>
      </c>
      <c r="C19" s="152" t="s">
        <v>57</v>
      </c>
      <c r="D19" s="133">
        <v>2905000</v>
      </c>
      <c r="E19" s="4">
        <v>2805000</v>
      </c>
      <c r="F19" s="4">
        <v>100000</v>
      </c>
      <c r="G19" s="4">
        <v>2755000</v>
      </c>
      <c r="H19" s="4">
        <v>2582388</v>
      </c>
      <c r="I19" s="4">
        <v>0</v>
      </c>
      <c r="J19" s="4">
        <v>106673</v>
      </c>
      <c r="K19" s="4">
        <v>106673</v>
      </c>
      <c r="L19" s="133">
        <v>2689061</v>
      </c>
      <c r="M19" s="133">
        <v>5939</v>
      </c>
      <c r="N19" s="133">
        <v>210000</v>
      </c>
      <c r="O19" s="133">
        <v>0</v>
      </c>
      <c r="P19" s="133">
        <v>65939</v>
      </c>
      <c r="Q19" s="133"/>
      <c r="R19" s="133"/>
      <c r="S19" s="133">
        <v>0</v>
      </c>
      <c r="T19" s="133">
        <v>60000</v>
      </c>
      <c r="U19" s="133">
        <v>150000</v>
      </c>
      <c r="V19" s="133">
        <v>0</v>
      </c>
      <c r="W19" s="133">
        <v>150000</v>
      </c>
      <c r="X19" s="133"/>
      <c r="Y19" s="133"/>
      <c r="Z19" s="133"/>
      <c r="AA19" s="133"/>
      <c r="AB19" s="3" t="s">
        <v>1423</v>
      </c>
      <c r="AC19" s="3">
        <v>746000</v>
      </c>
      <c r="AD19" s="235"/>
      <c r="AE19" s="235"/>
      <c r="AF19" s="235"/>
      <c r="AG19" s="235"/>
      <c r="AH19" s="372"/>
      <c r="AI19" s="249"/>
      <c r="AJ19" s="372"/>
      <c r="AK19" s="372"/>
      <c r="AL19" s="372"/>
      <c r="AM19" s="372"/>
      <c r="AN19" s="372"/>
      <c r="AO19" s="372"/>
      <c r="AP19" s="372"/>
    </row>
    <row r="20" spans="1:48" s="184" customFormat="1" ht="25.05" customHeight="1">
      <c r="A20" s="3">
        <f>1+A19</f>
        <v>2</v>
      </c>
      <c r="B20" s="3">
        <v>1345</v>
      </c>
      <c r="C20" s="152" t="s">
        <v>362</v>
      </c>
      <c r="D20" s="133">
        <v>883000</v>
      </c>
      <c r="E20" s="4">
        <v>883000</v>
      </c>
      <c r="F20" s="4">
        <v>0</v>
      </c>
      <c r="G20" s="4">
        <v>883000</v>
      </c>
      <c r="H20" s="4">
        <v>842424</v>
      </c>
      <c r="I20" s="4">
        <v>0</v>
      </c>
      <c r="J20" s="4">
        <v>16672</v>
      </c>
      <c r="K20" s="4">
        <v>16672</v>
      </c>
      <c r="L20" s="133">
        <v>859096</v>
      </c>
      <c r="M20" s="133">
        <v>23904</v>
      </c>
      <c r="N20" s="133"/>
      <c r="O20" s="133">
        <v>0</v>
      </c>
      <c r="P20" s="133">
        <v>23904</v>
      </c>
      <c r="Q20" s="133"/>
      <c r="R20" s="133"/>
      <c r="S20" s="133">
        <v>0</v>
      </c>
      <c r="T20" s="133">
        <v>0</v>
      </c>
      <c r="U20" s="133">
        <v>0</v>
      </c>
      <c r="V20" s="133"/>
      <c r="W20" s="133">
        <v>0</v>
      </c>
      <c r="X20" s="133"/>
      <c r="Y20" s="133"/>
      <c r="Z20" s="133"/>
      <c r="AA20" s="133"/>
      <c r="AB20" s="3" t="s">
        <v>435</v>
      </c>
      <c r="AC20" s="3">
        <v>870000</v>
      </c>
      <c r="AD20" s="235"/>
      <c r="AE20" s="235"/>
      <c r="AF20" s="235"/>
      <c r="AG20" s="235"/>
      <c r="AH20" s="372"/>
      <c r="AI20" s="249"/>
      <c r="AJ20" s="372"/>
      <c r="AK20" s="372"/>
      <c r="AL20" s="372"/>
      <c r="AM20" s="372"/>
      <c r="AN20" s="372"/>
      <c r="AO20" s="372"/>
      <c r="AP20" s="372"/>
    </row>
    <row r="21" spans="1:48" s="184" customFormat="1" ht="25.05" customHeight="1">
      <c r="A21" s="3">
        <f t="shared" ref="A21:A27" si="1">1+A20</f>
        <v>3</v>
      </c>
      <c r="B21" s="3">
        <v>1598</v>
      </c>
      <c r="C21" s="152" t="s">
        <v>58</v>
      </c>
      <c r="D21" s="133">
        <v>716500</v>
      </c>
      <c r="E21" s="133">
        <v>666500</v>
      </c>
      <c r="F21" s="133">
        <v>50000</v>
      </c>
      <c r="G21" s="133">
        <v>616500</v>
      </c>
      <c r="H21" s="133">
        <v>525252</v>
      </c>
      <c r="I21" s="133">
        <v>0</v>
      </c>
      <c r="J21" s="133">
        <v>72515</v>
      </c>
      <c r="K21" s="133">
        <v>72515</v>
      </c>
      <c r="L21" s="133">
        <v>597767</v>
      </c>
      <c r="M21" s="133">
        <v>18733</v>
      </c>
      <c r="N21" s="133">
        <v>100000</v>
      </c>
      <c r="O21" s="133">
        <v>0</v>
      </c>
      <c r="P21" s="133">
        <v>18733</v>
      </c>
      <c r="Q21" s="133"/>
      <c r="R21" s="133"/>
      <c r="S21" s="133">
        <v>0</v>
      </c>
      <c r="T21" s="133">
        <v>0</v>
      </c>
      <c r="U21" s="133">
        <v>100000</v>
      </c>
      <c r="V21" s="133"/>
      <c r="W21" s="133">
        <v>153304</v>
      </c>
      <c r="X21" s="133"/>
      <c r="Y21" s="133"/>
      <c r="Z21" s="133"/>
      <c r="AA21" s="133">
        <v>-53304</v>
      </c>
      <c r="AB21" s="3" t="s">
        <v>464</v>
      </c>
      <c r="AC21" s="3">
        <v>870000</v>
      </c>
      <c r="AD21" s="235"/>
      <c r="AE21" s="235"/>
      <c r="AF21" s="235"/>
      <c r="AG21" s="235"/>
      <c r="AH21" s="372"/>
      <c r="AI21" s="249"/>
      <c r="AJ21" s="372"/>
      <c r="AK21" s="372"/>
      <c r="AL21" s="372"/>
      <c r="AM21" s="372"/>
      <c r="AN21" s="372"/>
      <c r="AO21" s="372"/>
      <c r="AP21" s="372"/>
    </row>
    <row r="22" spans="1:48" s="184" customFormat="1" ht="25.05" customHeight="1">
      <c r="A22" s="3">
        <f t="shared" si="1"/>
        <v>4</v>
      </c>
      <c r="B22" s="3">
        <v>1817</v>
      </c>
      <c r="C22" s="152" t="s">
        <v>101</v>
      </c>
      <c r="D22" s="133">
        <v>940000</v>
      </c>
      <c r="E22" s="133">
        <v>872000</v>
      </c>
      <c r="F22" s="133">
        <v>68000</v>
      </c>
      <c r="G22" s="133">
        <v>840000</v>
      </c>
      <c r="H22" s="133">
        <v>709989</v>
      </c>
      <c r="I22" s="133">
        <v>0</v>
      </c>
      <c r="J22" s="133">
        <v>102262</v>
      </c>
      <c r="K22" s="133">
        <v>102262</v>
      </c>
      <c r="L22" s="133">
        <v>812251</v>
      </c>
      <c r="M22" s="133">
        <v>27749</v>
      </c>
      <c r="N22" s="133">
        <v>100000</v>
      </c>
      <c r="O22" s="133">
        <v>0</v>
      </c>
      <c r="P22" s="133">
        <v>27749</v>
      </c>
      <c r="Q22" s="133"/>
      <c r="R22" s="133"/>
      <c r="S22" s="133">
        <v>0</v>
      </c>
      <c r="T22" s="133">
        <v>0</v>
      </c>
      <c r="U22" s="133">
        <v>100000</v>
      </c>
      <c r="V22" s="133"/>
      <c r="W22" s="133">
        <v>0</v>
      </c>
      <c r="X22" s="133"/>
      <c r="Y22" s="133"/>
      <c r="Z22" s="133"/>
      <c r="AA22" s="133">
        <v>100000</v>
      </c>
      <c r="AB22" s="3" t="s">
        <v>597</v>
      </c>
      <c r="AC22" s="3">
        <v>810000</v>
      </c>
      <c r="AD22" s="235"/>
      <c r="AE22" s="235"/>
      <c r="AF22" s="235"/>
      <c r="AG22" s="235"/>
      <c r="AH22" s="372"/>
      <c r="AI22" s="249"/>
      <c r="AJ22" s="372"/>
      <c r="AK22" s="372"/>
      <c r="AL22" s="372"/>
      <c r="AM22" s="372"/>
      <c r="AN22" s="372"/>
      <c r="AO22" s="372"/>
      <c r="AP22" s="372"/>
    </row>
    <row r="23" spans="1:48" s="184" customFormat="1" ht="25.05" customHeight="1">
      <c r="A23" s="3">
        <f t="shared" si="1"/>
        <v>5</v>
      </c>
      <c r="B23" s="3">
        <v>1922</v>
      </c>
      <c r="C23" s="152" t="s">
        <v>118</v>
      </c>
      <c r="D23" s="133">
        <v>330000</v>
      </c>
      <c r="E23" s="133">
        <v>330000</v>
      </c>
      <c r="F23" s="133">
        <v>0</v>
      </c>
      <c r="G23" s="133">
        <v>200000</v>
      </c>
      <c r="H23" s="133">
        <v>95338</v>
      </c>
      <c r="I23" s="133">
        <v>0</v>
      </c>
      <c r="J23" s="133"/>
      <c r="K23" s="133">
        <v>0</v>
      </c>
      <c r="L23" s="133">
        <v>95338</v>
      </c>
      <c r="M23" s="133">
        <v>104662</v>
      </c>
      <c r="N23" s="133">
        <v>0</v>
      </c>
      <c r="O23" s="133">
        <v>130000</v>
      </c>
      <c r="P23" s="133">
        <v>104662</v>
      </c>
      <c r="Q23" s="133"/>
      <c r="R23" s="133"/>
      <c r="S23" s="133">
        <v>0</v>
      </c>
      <c r="T23" s="133">
        <v>0</v>
      </c>
      <c r="U23" s="133">
        <v>0</v>
      </c>
      <c r="V23" s="133"/>
      <c r="W23" s="133">
        <v>0</v>
      </c>
      <c r="X23" s="133"/>
      <c r="Y23" s="133"/>
      <c r="Z23" s="133"/>
      <c r="AA23" s="133"/>
      <c r="AB23" s="3" t="s">
        <v>1424</v>
      </c>
      <c r="AC23" s="3">
        <v>870000</v>
      </c>
      <c r="AD23" s="235"/>
      <c r="AE23" s="235"/>
      <c r="AF23" s="235"/>
      <c r="AG23" s="235"/>
      <c r="AH23" s="372"/>
      <c r="AI23" s="249"/>
      <c r="AJ23" s="372"/>
      <c r="AK23" s="372"/>
      <c r="AL23" s="372"/>
      <c r="AM23" s="372"/>
      <c r="AN23" s="372"/>
      <c r="AO23" s="372"/>
      <c r="AP23" s="372"/>
    </row>
    <row r="24" spans="1:48" s="184" customFormat="1" ht="25.05" customHeight="1">
      <c r="A24" s="3">
        <f t="shared" si="1"/>
        <v>6</v>
      </c>
      <c r="B24" s="3">
        <v>2066</v>
      </c>
      <c r="C24" s="152" t="s">
        <v>302</v>
      </c>
      <c r="D24" s="133">
        <v>112500</v>
      </c>
      <c r="E24" s="133">
        <v>112500</v>
      </c>
      <c r="F24" s="133">
        <v>0</v>
      </c>
      <c r="G24" s="133">
        <v>112500</v>
      </c>
      <c r="H24" s="133">
        <v>111299</v>
      </c>
      <c r="I24" s="133">
        <v>0</v>
      </c>
      <c r="J24" s="133">
        <v>0</v>
      </c>
      <c r="K24" s="133">
        <v>0</v>
      </c>
      <c r="L24" s="133">
        <v>111299</v>
      </c>
      <c r="M24" s="133">
        <v>1201</v>
      </c>
      <c r="N24" s="133"/>
      <c r="O24" s="133">
        <v>0</v>
      </c>
      <c r="P24" s="133">
        <v>1201</v>
      </c>
      <c r="Q24" s="133"/>
      <c r="R24" s="133"/>
      <c r="S24" s="133">
        <v>0</v>
      </c>
      <c r="T24" s="133">
        <v>0</v>
      </c>
      <c r="U24" s="133">
        <v>0</v>
      </c>
      <c r="V24" s="133"/>
      <c r="W24" s="133">
        <v>0</v>
      </c>
      <c r="X24" s="133"/>
      <c r="Y24" s="133"/>
      <c r="Z24" s="133"/>
      <c r="AA24" s="133"/>
      <c r="AB24" s="3" t="s">
        <v>522</v>
      </c>
      <c r="AC24" s="3">
        <v>732000</v>
      </c>
      <c r="AD24" s="235"/>
      <c r="AE24" s="235"/>
      <c r="AF24" s="235"/>
      <c r="AG24" s="235"/>
      <c r="AH24" s="372"/>
      <c r="AI24" s="249"/>
      <c r="AJ24" s="372"/>
      <c r="AK24" s="372"/>
      <c r="AL24" s="372"/>
      <c r="AM24" s="372"/>
      <c r="AN24" s="372"/>
      <c r="AO24" s="372"/>
      <c r="AP24" s="372"/>
    </row>
    <row r="25" spans="1:48" s="383" customFormat="1" ht="25.05" customHeight="1">
      <c r="A25" s="3">
        <f t="shared" si="1"/>
        <v>7</v>
      </c>
      <c r="B25" s="28">
        <v>2168</v>
      </c>
      <c r="C25" s="152" t="s">
        <v>443</v>
      </c>
      <c r="D25" s="133">
        <v>100000</v>
      </c>
      <c r="E25" s="133">
        <v>100000</v>
      </c>
      <c r="F25" s="133">
        <v>0</v>
      </c>
      <c r="G25" s="133">
        <v>100000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10000</v>
      </c>
      <c r="N25" s="133">
        <v>90000</v>
      </c>
      <c r="O25" s="133">
        <v>0</v>
      </c>
      <c r="P25" s="133">
        <v>100000</v>
      </c>
      <c r="Q25" s="133"/>
      <c r="R25" s="133"/>
      <c r="S25" s="133">
        <v>0</v>
      </c>
      <c r="T25" s="133">
        <v>90000</v>
      </c>
      <c r="U25" s="133">
        <v>0</v>
      </c>
      <c r="V25" s="133"/>
      <c r="W25" s="133">
        <v>0</v>
      </c>
      <c r="X25" s="133"/>
      <c r="Y25" s="133"/>
      <c r="Z25" s="133"/>
      <c r="AA25" s="133"/>
      <c r="AB25" s="3" t="s">
        <v>942</v>
      </c>
      <c r="AC25" s="3">
        <v>746000</v>
      </c>
      <c r="AD25" s="235"/>
      <c r="AE25" s="235"/>
      <c r="AF25" s="235"/>
      <c r="AG25" s="235"/>
      <c r="AH25" s="444"/>
      <c r="AI25" s="249"/>
      <c r="AJ25" s="444"/>
      <c r="AK25" s="444"/>
      <c r="AL25" s="444"/>
      <c r="AM25" s="444"/>
      <c r="AN25" s="444"/>
      <c r="AO25" s="444"/>
      <c r="AP25" s="444"/>
    </row>
    <row r="26" spans="1:48" s="383" customFormat="1" ht="25.05" customHeight="1">
      <c r="A26" s="3">
        <f t="shared" si="1"/>
        <v>8</v>
      </c>
      <c r="B26" s="28">
        <v>20019</v>
      </c>
      <c r="C26" s="152" t="s">
        <v>715</v>
      </c>
      <c r="D26" s="133">
        <v>100000</v>
      </c>
      <c r="E26" s="133">
        <v>100000</v>
      </c>
      <c r="F26" s="133">
        <v>0</v>
      </c>
      <c r="G26" s="133">
        <v>100000</v>
      </c>
      <c r="H26" s="133">
        <v>0</v>
      </c>
      <c r="I26" s="133">
        <v>0</v>
      </c>
      <c r="J26" s="133">
        <v>1000</v>
      </c>
      <c r="K26" s="133">
        <v>1000</v>
      </c>
      <c r="L26" s="133">
        <v>1000</v>
      </c>
      <c r="M26" s="133">
        <v>9000</v>
      </c>
      <c r="N26" s="133">
        <v>90000</v>
      </c>
      <c r="O26" s="133">
        <v>0</v>
      </c>
      <c r="P26" s="133">
        <v>99000</v>
      </c>
      <c r="Q26" s="133"/>
      <c r="R26" s="133"/>
      <c r="S26" s="133">
        <v>0</v>
      </c>
      <c r="T26" s="133">
        <v>90000</v>
      </c>
      <c r="U26" s="133">
        <v>0</v>
      </c>
      <c r="V26" s="133"/>
      <c r="W26" s="133">
        <v>0</v>
      </c>
      <c r="X26" s="133"/>
      <c r="Y26" s="133"/>
      <c r="Z26" s="133"/>
      <c r="AA26" s="133"/>
      <c r="AB26" s="3" t="s">
        <v>858</v>
      </c>
      <c r="AC26" s="3">
        <v>870000</v>
      </c>
      <c r="AD26" s="235"/>
      <c r="AE26" s="235"/>
      <c r="AF26" s="235"/>
      <c r="AG26" s="235"/>
      <c r="AH26" s="444"/>
      <c r="AI26" s="249"/>
      <c r="AJ26" s="444"/>
      <c r="AK26" s="444"/>
      <c r="AL26" s="444"/>
      <c r="AM26" s="444"/>
      <c r="AN26" s="444"/>
      <c r="AO26" s="444"/>
      <c r="AP26" s="444"/>
    </row>
    <row r="27" spans="1:48" s="5" customFormat="1" ht="25.05" customHeight="1">
      <c r="A27" s="3">
        <f t="shared" si="1"/>
        <v>9</v>
      </c>
      <c r="B27" s="28">
        <v>20079</v>
      </c>
      <c r="C27" s="152" t="s">
        <v>932</v>
      </c>
      <c r="D27" s="133">
        <v>100000</v>
      </c>
      <c r="E27" s="133"/>
      <c r="F27" s="133">
        <v>100000</v>
      </c>
      <c r="G27" s="133"/>
      <c r="H27" s="133"/>
      <c r="I27" s="133"/>
      <c r="J27" s="133"/>
      <c r="K27" s="133"/>
      <c r="L27" s="133"/>
      <c r="M27" s="133"/>
      <c r="N27" s="133">
        <v>100000</v>
      </c>
      <c r="O27" s="133">
        <v>0</v>
      </c>
      <c r="P27" s="133"/>
      <c r="Q27" s="133"/>
      <c r="R27" s="133"/>
      <c r="S27" s="133"/>
      <c r="T27" s="133"/>
      <c r="U27" s="133">
        <v>100000</v>
      </c>
      <c r="V27" s="133">
        <v>0</v>
      </c>
      <c r="W27" s="133">
        <v>100000</v>
      </c>
      <c r="X27" s="133"/>
      <c r="Y27" s="133"/>
      <c r="Z27" s="133"/>
      <c r="AA27" s="133"/>
      <c r="AB27" s="3" t="s">
        <v>1419</v>
      </c>
      <c r="AC27" s="3">
        <v>870000</v>
      </c>
      <c r="AD27" s="235"/>
      <c r="AE27" s="235"/>
      <c r="AF27" s="235"/>
      <c r="AG27" s="235"/>
      <c r="AH27" s="299"/>
      <c r="AI27" s="24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</row>
    <row r="28" spans="1:48" s="57" customFormat="1" ht="25.05" customHeight="1">
      <c r="A28" s="29">
        <f>A27</f>
        <v>9</v>
      </c>
      <c r="B28" s="29"/>
      <c r="C28" s="29" t="s">
        <v>933</v>
      </c>
      <c r="D28" s="60">
        <v>6187000</v>
      </c>
      <c r="E28" s="60">
        <v>5869000</v>
      </c>
      <c r="F28" s="60">
        <v>318000</v>
      </c>
      <c r="G28" s="60">
        <v>5607000</v>
      </c>
      <c r="H28" s="60">
        <v>4866690</v>
      </c>
      <c r="I28" s="60">
        <v>0</v>
      </c>
      <c r="J28" s="60">
        <v>299122</v>
      </c>
      <c r="K28" s="60">
        <v>299122</v>
      </c>
      <c r="L28" s="60">
        <v>5165812</v>
      </c>
      <c r="M28" s="60">
        <v>201188</v>
      </c>
      <c r="N28" s="60">
        <v>690000</v>
      </c>
      <c r="O28" s="60">
        <v>130000</v>
      </c>
      <c r="P28" s="60">
        <v>441188</v>
      </c>
      <c r="Q28" s="60">
        <v>0</v>
      </c>
      <c r="R28" s="60">
        <v>0</v>
      </c>
      <c r="S28" s="60">
        <v>0</v>
      </c>
      <c r="T28" s="60">
        <v>240000</v>
      </c>
      <c r="U28" s="60">
        <v>450000</v>
      </c>
      <c r="V28" s="60">
        <v>0</v>
      </c>
      <c r="W28" s="60">
        <v>403304</v>
      </c>
      <c r="X28" s="60">
        <v>0</v>
      </c>
      <c r="Y28" s="60">
        <v>0</v>
      </c>
      <c r="Z28" s="60">
        <v>0</v>
      </c>
      <c r="AA28" s="60">
        <v>46696</v>
      </c>
      <c r="AB28" s="29"/>
      <c r="AC28" s="29"/>
      <c r="AD28" s="235"/>
      <c r="AE28" s="235"/>
      <c r="AF28" s="235"/>
      <c r="AG28" s="235"/>
      <c r="AH28" s="60"/>
      <c r="AI28" s="249"/>
      <c r="AJ28" s="445"/>
      <c r="AK28" s="445"/>
      <c r="AL28" s="445"/>
      <c r="AM28" s="445"/>
      <c r="AN28" s="445"/>
      <c r="AO28" s="445"/>
      <c r="AP28" s="445"/>
      <c r="AQ28" s="445"/>
      <c r="AR28" s="445"/>
      <c r="AS28" s="445"/>
      <c r="AT28" s="445"/>
      <c r="AU28" s="445"/>
      <c r="AV28" s="445"/>
    </row>
    <row r="29" spans="1:48" ht="25.05" customHeight="1">
      <c r="A29" s="602"/>
      <c r="B29" s="163"/>
      <c r="C29" s="163"/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163"/>
      <c r="V29" s="163"/>
      <c r="W29" s="163"/>
      <c r="X29" s="163"/>
      <c r="Y29" s="163"/>
      <c r="Z29" s="163"/>
      <c r="AA29" s="163"/>
      <c r="AB29" s="250"/>
      <c r="AC29" s="163"/>
    </row>
    <row r="30" spans="1:48" s="57" customFormat="1" ht="25.05" customHeight="1">
      <c r="A30" s="60">
        <f>A28+A15</f>
        <v>19</v>
      </c>
      <c r="B30" s="29"/>
      <c r="C30" s="29" t="s">
        <v>320</v>
      </c>
      <c r="D30" s="60">
        <v>143306603</v>
      </c>
      <c r="E30" s="60">
        <v>134948663</v>
      </c>
      <c r="F30" s="60">
        <v>8357940</v>
      </c>
      <c r="G30" s="60">
        <v>111061525</v>
      </c>
      <c r="H30" s="60">
        <v>93797840</v>
      </c>
      <c r="I30" s="60">
        <v>0</v>
      </c>
      <c r="J30" s="60">
        <v>3133597</v>
      </c>
      <c r="K30" s="60">
        <v>3133597</v>
      </c>
      <c r="L30" s="60">
        <v>96931437</v>
      </c>
      <c r="M30" s="60">
        <v>10385028</v>
      </c>
      <c r="N30" s="60">
        <v>9270000</v>
      </c>
      <c r="O30" s="60">
        <v>26720138</v>
      </c>
      <c r="P30" s="60">
        <v>14130088</v>
      </c>
      <c r="Q30" s="60">
        <v>450000</v>
      </c>
      <c r="R30" s="60">
        <v>200000</v>
      </c>
      <c r="S30" s="60">
        <v>650000</v>
      </c>
      <c r="T30" s="60">
        <v>4395060</v>
      </c>
      <c r="U30" s="60">
        <v>4874940</v>
      </c>
      <c r="V30" s="60">
        <v>-417695</v>
      </c>
      <c r="W30" s="60">
        <v>5245939</v>
      </c>
      <c r="X30" s="60">
        <v>0</v>
      </c>
      <c r="Y30" s="60">
        <v>0</v>
      </c>
      <c r="Z30" s="60">
        <v>0</v>
      </c>
      <c r="AA30" s="60">
        <v>46696</v>
      </c>
      <c r="AB30" s="29"/>
      <c r="AC30" s="29"/>
      <c r="AD30" s="235"/>
      <c r="AE30" s="235"/>
      <c r="AF30" s="235"/>
      <c r="AG30" s="235"/>
      <c r="AH30" s="445"/>
      <c r="AI30" s="249"/>
      <c r="AJ30" s="445"/>
      <c r="AK30" s="445"/>
      <c r="AL30" s="445"/>
      <c r="AM30" s="445"/>
      <c r="AN30" s="445"/>
      <c r="AO30" s="445"/>
      <c r="AP30" s="445"/>
      <c r="AQ30" s="445"/>
      <c r="AR30" s="445"/>
      <c r="AS30" s="445"/>
      <c r="AT30" s="445"/>
      <c r="AU30" s="445"/>
      <c r="AV30" s="445"/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conditionalFormatting sqref="AB4">
    <cfRule type="cellIs" dxfId="95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rowBreaks count="1" manualBreakCount="1">
    <brk id="15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48"/>
  <sheetViews>
    <sheetView rightToLeft="1" tabSelected="1" topLeftCell="A7" zoomScaleNormal="100" workbookViewId="0">
      <selection activeCell="M31" sqref="M31"/>
    </sheetView>
  </sheetViews>
  <sheetFormatPr defaultColWidth="9.109375" defaultRowHeight="13.8"/>
  <cols>
    <col min="1" max="2" width="4.109375" style="81" customWidth="1"/>
    <col min="3" max="3" width="33" style="81" customWidth="1"/>
    <col min="4" max="4" width="10.6640625" style="81" customWidth="1"/>
    <col min="5" max="5" width="12.109375" style="81" customWidth="1"/>
    <col min="6" max="6" width="9" style="81" hidden="1" customWidth="1"/>
    <col min="7" max="7" width="13" style="81" customWidth="1"/>
    <col min="8" max="8" width="9.109375" style="81"/>
    <col min="9" max="9" width="12.33203125" style="81" customWidth="1"/>
    <col min="10" max="10" width="13.33203125" style="81" customWidth="1"/>
    <col min="11" max="11" width="7.88671875" style="81" customWidth="1"/>
    <col min="12" max="14" width="9.109375" style="81" customWidth="1"/>
    <col min="15" max="18" width="9.109375" style="81"/>
    <col min="19" max="19" width="9.109375" style="81" customWidth="1"/>
    <col min="20" max="16384" width="9.109375" style="81"/>
  </cols>
  <sheetData>
    <row r="2" spans="1:17" s="92" customFormat="1" ht="18">
      <c r="A2" s="90" t="s">
        <v>169</v>
      </c>
      <c r="B2" s="90"/>
      <c r="C2" s="91" t="s">
        <v>1048</v>
      </c>
      <c r="D2" s="90"/>
      <c r="E2" s="90"/>
      <c r="F2" s="90"/>
      <c r="G2" s="90"/>
      <c r="I2" s="90"/>
      <c r="J2" s="90"/>
    </row>
    <row r="3" spans="1:17" ht="15.6">
      <c r="A3" s="83"/>
      <c r="B3" s="83"/>
      <c r="C3" s="84"/>
      <c r="D3" s="83"/>
      <c r="E3" s="83"/>
      <c r="F3" s="83"/>
      <c r="G3" s="83"/>
      <c r="I3" s="83"/>
      <c r="J3" s="83"/>
    </row>
    <row r="4" spans="1:17" ht="15.6">
      <c r="C4" s="83" t="s">
        <v>1049</v>
      </c>
      <c r="D4" s="83"/>
      <c r="E4" s="83"/>
      <c r="F4" s="83"/>
      <c r="G4" s="83"/>
      <c r="I4" s="83"/>
      <c r="J4" s="83"/>
    </row>
    <row r="5" spans="1:17" ht="15.6">
      <c r="C5" s="83" t="s">
        <v>1459</v>
      </c>
      <c r="E5" s="83"/>
      <c r="F5" s="87"/>
      <c r="G5" s="87"/>
      <c r="H5" s="83"/>
      <c r="I5" s="87"/>
      <c r="J5" s="83"/>
      <c r="K5" s="83"/>
      <c r="L5" s="83"/>
      <c r="M5" s="83"/>
      <c r="N5" s="83"/>
      <c r="O5" s="83"/>
      <c r="P5" s="83"/>
      <c r="Q5" s="83"/>
    </row>
    <row r="6" spans="1:17" ht="15.6">
      <c r="C6" s="83"/>
      <c r="D6" s="87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ht="15.6">
      <c r="C7" s="83" t="s">
        <v>170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</row>
    <row r="8" spans="1:17" ht="15.6"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ht="15.6">
      <c r="B9" s="86" t="s">
        <v>136</v>
      </c>
      <c r="C9" s="83" t="s">
        <v>13</v>
      </c>
      <c r="D9" s="93">
        <v>230670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ht="15.6">
      <c r="B10" s="86" t="s">
        <v>136</v>
      </c>
      <c r="C10" s="83" t="s">
        <v>14</v>
      </c>
      <c r="D10" s="93">
        <v>60000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ht="15.6" hidden="1">
      <c r="B11" s="86" t="s">
        <v>136</v>
      </c>
      <c r="C11" s="83" t="s">
        <v>171</v>
      </c>
      <c r="D11" s="9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 ht="15.6">
      <c r="B12" s="86" t="s">
        <v>136</v>
      </c>
      <c r="C12" s="83" t="s">
        <v>256</v>
      </c>
      <c r="D12" s="93">
        <v>9000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ht="15.6">
      <c r="B13" s="86" t="s">
        <v>136</v>
      </c>
      <c r="C13" s="83" t="s">
        <v>575</v>
      </c>
      <c r="D13" s="93">
        <v>7100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ht="17.399999999999999">
      <c r="B14" s="86" t="s">
        <v>136</v>
      </c>
      <c r="C14" s="83" t="s">
        <v>172</v>
      </c>
      <c r="D14" s="94">
        <v>168199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ht="17.399999999999999">
      <c r="C15" s="85" t="s">
        <v>88</v>
      </c>
      <c r="D15" s="95">
        <v>474969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 ht="11.4" hidden="1" customHeight="1">
      <c r="C16" s="85"/>
      <c r="D16" s="95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 ht="15.6" hidden="1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 ht="17.399999999999999">
      <c r="C18" s="85"/>
      <c r="D18" s="95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 ht="15.6">
      <c r="B19" s="83"/>
      <c r="C19" s="83" t="s">
        <v>1050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 ht="15.6"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 ht="46.8">
      <c r="C21" s="96" t="s">
        <v>173</v>
      </c>
      <c r="D21" s="97" t="s">
        <v>13</v>
      </c>
      <c r="E21" s="97" t="s">
        <v>14</v>
      </c>
      <c r="F21" s="97" t="s">
        <v>15</v>
      </c>
      <c r="G21" s="97" t="s">
        <v>256</v>
      </c>
      <c r="H21" s="97" t="s">
        <v>575</v>
      </c>
      <c r="I21" s="97" t="s">
        <v>174</v>
      </c>
      <c r="J21" s="97" t="s">
        <v>88</v>
      </c>
      <c r="K21" s="83"/>
      <c r="L21" s="83"/>
      <c r="M21" s="83"/>
      <c r="N21" s="83"/>
      <c r="O21" s="83"/>
      <c r="P21" s="83"/>
      <c r="Q21" s="83"/>
    </row>
    <row r="22" spans="1:17" ht="31.5" customHeight="1">
      <c r="C22" s="98" t="s">
        <v>783</v>
      </c>
      <c r="D22" s="99">
        <v>230670</v>
      </c>
      <c r="E22" s="99">
        <v>60000</v>
      </c>
      <c r="F22" s="99">
        <v>0</v>
      </c>
      <c r="G22" s="99">
        <v>9000</v>
      </c>
      <c r="H22" s="99">
        <v>7100</v>
      </c>
      <c r="I22" s="99">
        <v>168199</v>
      </c>
      <c r="J22" s="99">
        <v>474969</v>
      </c>
      <c r="K22" s="83"/>
      <c r="L22" s="83"/>
      <c r="M22" s="83"/>
      <c r="N22" s="83"/>
      <c r="O22" s="83"/>
      <c r="P22" s="83"/>
      <c r="Q22" s="83"/>
    </row>
    <row r="23" spans="1:17" ht="31.5" customHeight="1">
      <c r="C23" s="98" t="s">
        <v>1051</v>
      </c>
      <c r="D23" s="99">
        <v>189987.13500000001</v>
      </c>
      <c r="E23" s="99">
        <v>50502.614999999998</v>
      </c>
      <c r="F23" s="99">
        <v>0</v>
      </c>
      <c r="G23" s="99">
        <v>9000</v>
      </c>
      <c r="H23" s="99">
        <v>7100</v>
      </c>
      <c r="I23" s="99">
        <v>61852.254000000001</v>
      </c>
      <c r="J23" s="99">
        <v>318442.00400000002</v>
      </c>
      <c r="K23" s="83"/>
      <c r="L23" s="83"/>
      <c r="M23" s="83"/>
      <c r="N23" s="83"/>
      <c r="O23" s="83"/>
      <c r="P23" s="83"/>
      <c r="Q23" s="83"/>
    </row>
    <row r="24" spans="1:17" ht="31.5" customHeight="1">
      <c r="C24" s="98" t="s">
        <v>175</v>
      </c>
      <c r="D24" s="99">
        <v>82.363174665106001</v>
      </c>
      <c r="E24" s="99">
        <v>84.171025</v>
      </c>
      <c r="F24" s="99"/>
      <c r="G24" s="99">
        <v>100</v>
      </c>
      <c r="H24" s="99">
        <v>100</v>
      </c>
      <c r="I24" s="99">
        <v>36.773259056236959</v>
      </c>
      <c r="J24" s="99">
        <v>67.044797449938841</v>
      </c>
      <c r="K24" s="83"/>
      <c r="L24" s="83"/>
      <c r="M24" s="83"/>
      <c r="N24" s="83"/>
      <c r="O24" s="83"/>
      <c r="P24" s="83"/>
      <c r="Q24" s="83"/>
    </row>
    <row r="25" spans="1:17" ht="31.5" customHeight="1">
      <c r="C25" s="100" t="s">
        <v>1172</v>
      </c>
      <c r="D25" s="99">
        <v>52570.489000000001</v>
      </c>
      <c r="E25" s="99">
        <v>17150.471000000001</v>
      </c>
      <c r="F25" s="99"/>
      <c r="G25" s="99"/>
      <c r="H25" s="99"/>
      <c r="I25" s="99">
        <v>27809.633999999998</v>
      </c>
      <c r="J25" s="99">
        <v>97530.594000000012</v>
      </c>
      <c r="K25" s="83"/>
      <c r="L25" s="83"/>
      <c r="M25" s="83"/>
      <c r="N25" s="83"/>
      <c r="O25" s="83"/>
      <c r="P25" s="83"/>
      <c r="Q25" s="83"/>
    </row>
    <row r="26" spans="1:17" ht="31.5" customHeight="1">
      <c r="C26" s="98" t="s">
        <v>176</v>
      </c>
      <c r="D26" s="99">
        <v>242557.62400000001</v>
      </c>
      <c r="E26" s="99">
        <v>67653.085999999996</v>
      </c>
      <c r="F26" s="99">
        <v>0</v>
      </c>
      <c r="G26" s="99">
        <v>9000</v>
      </c>
      <c r="H26" s="99">
        <v>7100</v>
      </c>
      <c r="I26" s="99">
        <v>89661.888000000006</v>
      </c>
      <c r="J26" s="99">
        <v>415972.598</v>
      </c>
      <c r="K26" s="83"/>
      <c r="L26" s="83"/>
      <c r="M26" s="83"/>
      <c r="N26" s="83"/>
      <c r="O26" s="83"/>
      <c r="P26" s="83"/>
      <c r="Q26" s="83"/>
    </row>
    <row r="27" spans="1:17" ht="31.5" customHeight="1">
      <c r="C27" s="98" t="s">
        <v>175</v>
      </c>
      <c r="D27" s="99">
        <v>105.15351974682447</v>
      </c>
      <c r="E27" s="99">
        <v>112.75514333333332</v>
      </c>
      <c r="F27" s="99" t="e">
        <v>#DIV/0!</v>
      </c>
      <c r="G27" s="99">
        <v>100</v>
      </c>
      <c r="H27" s="99">
        <v>100</v>
      </c>
      <c r="I27" s="99">
        <v>53.30702798470859</v>
      </c>
      <c r="J27" s="99">
        <v>87.578894201516306</v>
      </c>
      <c r="K27" s="83"/>
      <c r="M27" s="83"/>
      <c r="N27" s="83"/>
      <c r="O27" s="83"/>
      <c r="P27" s="83"/>
      <c r="Q27" s="83"/>
    </row>
    <row r="28" spans="1:17" ht="15.6"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7" ht="15.6">
      <c r="C29" s="181" t="s">
        <v>1460</v>
      </c>
      <c r="D29" s="1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7" ht="15.6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ht="15.6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ht="15.6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1:17" ht="15.6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1:17" ht="15.6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1:17" ht="15.6">
      <c r="A35" s="83"/>
      <c r="B35" s="83"/>
      <c r="C35" s="86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1:17" ht="15.6">
      <c r="A36" s="83"/>
      <c r="B36" s="83"/>
      <c r="C36" s="86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  <row r="37" spans="1:17" ht="15.6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1:17" ht="15.6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pans="1:17" ht="15.6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</row>
    <row r="40" spans="1:17" ht="15.6">
      <c r="A40" s="89"/>
      <c r="B40" s="89"/>
      <c r="C40" s="89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1:17" ht="15.6">
      <c r="A41" s="89"/>
      <c r="B41" s="89"/>
      <c r="C41" s="89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1:17" ht="15.6">
      <c r="A42" s="89"/>
      <c r="B42" s="89"/>
      <c r="C42" s="89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1:17" ht="15.6">
      <c r="A43" s="89"/>
      <c r="B43" s="89"/>
      <c r="C43" s="89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1:17" ht="15.6">
      <c r="A44" s="89"/>
      <c r="B44" s="89"/>
      <c r="C44" s="89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1:17" ht="15.6">
      <c r="A45" s="89"/>
      <c r="B45" s="89"/>
      <c r="C45" s="89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1:17" ht="15.6">
      <c r="A46" s="89"/>
      <c r="B46" s="89"/>
      <c r="C46" s="89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</row>
    <row r="47" spans="1:17" ht="15.6"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</row>
    <row r="48" spans="1:17" ht="15.6"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0"/>
  <sheetViews>
    <sheetView showZeros="0" rightToLeft="1" tabSelected="1" zoomScaleNormal="100" workbookViewId="0">
      <pane xSplit="3" ySplit="4" topLeftCell="D10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8"/>
  <cols>
    <col min="1" max="1" width="3.77734375" style="237" customWidth="1"/>
    <col min="2" max="2" width="5.77734375" style="147" customWidth="1"/>
    <col min="3" max="3" width="16" style="147" customWidth="1"/>
    <col min="4" max="4" width="10.109375" style="148" customWidth="1"/>
    <col min="5" max="5" width="10.109375" style="148" hidden="1" customWidth="1"/>
    <col min="6" max="6" width="8.33203125" style="148" hidden="1" customWidth="1"/>
    <col min="7" max="7" width="11.109375" style="148" hidden="1" customWidth="1"/>
    <col min="8" max="8" width="10.109375" style="148" hidden="1" customWidth="1"/>
    <col min="9" max="9" width="6.6640625" style="148" hidden="1" customWidth="1"/>
    <col min="10" max="11" width="9.109375" style="148" hidden="1" customWidth="1"/>
    <col min="12" max="12" width="9.109375" style="148" customWidth="1"/>
    <col min="13" max="13" width="9.33203125" style="148" customWidth="1"/>
    <col min="14" max="14" width="8.33203125" style="148" customWidth="1"/>
    <col min="15" max="15" width="9.33203125" style="148" customWidth="1"/>
    <col min="16" max="16" width="10.109375" style="148" hidden="1" customWidth="1"/>
    <col min="17" max="18" width="13.5546875" style="148" hidden="1" customWidth="1"/>
    <col min="19" max="19" width="8.44140625" style="148" hidden="1" customWidth="1"/>
    <col min="20" max="20" width="8.21875" style="148" customWidth="1"/>
    <col min="21" max="21" width="8.77734375" style="147" customWidth="1"/>
    <col min="22" max="22" width="7.77734375" style="147" customWidth="1"/>
    <col min="23" max="23" width="8.5546875" style="147" bestFit="1" customWidth="1"/>
    <col min="24" max="24" width="6.44140625" style="147" hidden="1" customWidth="1"/>
    <col min="25" max="25" width="7.44140625" style="147" hidden="1" customWidth="1"/>
    <col min="26" max="26" width="7.88671875" style="147" hidden="1" customWidth="1"/>
    <col min="27" max="27" width="9.77734375" style="147" customWidth="1"/>
    <col min="28" max="28" width="32.5546875" style="162" customWidth="1"/>
    <col min="29" max="29" width="7" style="147" hidden="1" customWidth="1"/>
    <col min="30" max="30" width="18.6640625" style="235" customWidth="1"/>
    <col min="31" max="31" width="33.33203125" style="235" customWidth="1"/>
    <col min="32" max="32" width="34" style="235" customWidth="1"/>
    <col min="33" max="33" width="24.5546875" style="235" customWidth="1"/>
    <col min="34" max="34" width="9.109375" style="147"/>
    <col min="35" max="35" width="7.5546875" style="249" bestFit="1" customWidth="1"/>
    <col min="36" max="16384" width="9.109375" style="147"/>
  </cols>
  <sheetData>
    <row r="1" spans="1:35" s="235" customFormat="1">
      <c r="A1" s="639"/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252"/>
      <c r="Y1" s="252"/>
      <c r="Z1" s="252"/>
      <c r="AB1" s="236"/>
      <c r="AI1" s="249"/>
    </row>
    <row r="2" spans="1:35">
      <c r="A2" s="234" t="s">
        <v>213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4" spans="1:35" s="249" customFormat="1" ht="69">
      <c r="A4" s="167" t="s">
        <v>0</v>
      </c>
      <c r="B4" s="167" t="s">
        <v>1</v>
      </c>
      <c r="C4" s="167" t="s">
        <v>2</v>
      </c>
      <c r="D4" s="167" t="s">
        <v>3</v>
      </c>
      <c r="E4" s="167" t="s">
        <v>4</v>
      </c>
      <c r="F4" s="167" t="s">
        <v>5</v>
      </c>
      <c r="G4" s="167" t="s">
        <v>6</v>
      </c>
      <c r="H4" s="167" t="s">
        <v>7</v>
      </c>
      <c r="I4" s="167" t="s">
        <v>9</v>
      </c>
      <c r="J4" s="167" t="s">
        <v>132</v>
      </c>
      <c r="K4" s="167" t="s">
        <v>10</v>
      </c>
      <c r="L4" s="167" t="s">
        <v>11</v>
      </c>
      <c r="M4" s="167" t="s">
        <v>875</v>
      </c>
      <c r="N4" s="167" t="s">
        <v>876</v>
      </c>
      <c r="O4" s="9" t="s">
        <v>877</v>
      </c>
      <c r="P4" s="9" t="s">
        <v>12</v>
      </c>
      <c r="Q4" s="9" t="s">
        <v>878</v>
      </c>
      <c r="R4" s="9" t="s">
        <v>879</v>
      </c>
      <c r="S4" s="9" t="s">
        <v>880</v>
      </c>
      <c r="T4" s="9" t="s">
        <v>881</v>
      </c>
      <c r="U4" s="9" t="s">
        <v>882</v>
      </c>
      <c r="V4" s="167" t="s">
        <v>13</v>
      </c>
      <c r="W4" s="167" t="s">
        <v>14</v>
      </c>
      <c r="X4" s="167" t="s">
        <v>15</v>
      </c>
      <c r="Y4" s="167" t="s">
        <v>225</v>
      </c>
      <c r="Z4" s="167" t="s">
        <v>575</v>
      </c>
      <c r="AA4" s="167" t="s">
        <v>79</v>
      </c>
      <c r="AB4" s="389" t="s">
        <v>257</v>
      </c>
      <c r="AC4" s="167" t="s">
        <v>16</v>
      </c>
      <c r="AD4" s="235"/>
      <c r="AE4" s="235"/>
      <c r="AF4" s="235"/>
      <c r="AG4" s="235"/>
    </row>
    <row r="5" spans="1:35" s="5" customFormat="1" ht="41.4">
      <c r="A5" s="3">
        <v>1</v>
      </c>
      <c r="B5" s="3">
        <v>529</v>
      </c>
      <c r="C5" s="232" t="s">
        <v>60</v>
      </c>
      <c r="D5" s="4">
        <v>700000</v>
      </c>
      <c r="E5" s="4">
        <v>700000</v>
      </c>
      <c r="F5" s="4">
        <v>0</v>
      </c>
      <c r="G5" s="4">
        <v>700000</v>
      </c>
      <c r="H5" s="4">
        <v>511921</v>
      </c>
      <c r="I5" s="4">
        <v>0</v>
      </c>
      <c r="J5" s="4">
        <v>0</v>
      </c>
      <c r="K5" s="4">
        <v>0</v>
      </c>
      <c r="L5" s="4">
        <v>511921</v>
      </c>
      <c r="M5" s="4">
        <v>8079</v>
      </c>
      <c r="N5" s="4">
        <v>180000</v>
      </c>
      <c r="O5" s="4">
        <v>0</v>
      </c>
      <c r="P5" s="4">
        <v>188079</v>
      </c>
      <c r="Q5" s="4">
        <v>0</v>
      </c>
      <c r="R5" s="4">
        <v>0</v>
      </c>
      <c r="S5" s="4">
        <v>0</v>
      </c>
      <c r="T5" s="4">
        <v>180000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232" t="s">
        <v>1420</v>
      </c>
      <c r="AC5" s="3">
        <v>840000</v>
      </c>
      <c r="AD5" s="235"/>
      <c r="AE5" s="235"/>
      <c r="AF5" s="235"/>
      <c r="AG5" s="235"/>
      <c r="AI5" s="249"/>
    </row>
    <row r="6" spans="1:35" s="5" customFormat="1" ht="34.950000000000003" customHeight="1">
      <c r="A6" s="153">
        <v>2</v>
      </c>
      <c r="B6" s="3">
        <v>1032</v>
      </c>
      <c r="C6" s="232" t="s">
        <v>122</v>
      </c>
      <c r="D6" s="4">
        <v>40500000</v>
      </c>
      <c r="E6" s="4">
        <v>40500000</v>
      </c>
      <c r="F6" s="4">
        <v>0</v>
      </c>
      <c r="G6" s="4">
        <v>34862968</v>
      </c>
      <c r="H6" s="4">
        <v>32843480</v>
      </c>
      <c r="I6" s="4">
        <v>0</v>
      </c>
      <c r="J6" s="4">
        <v>604751</v>
      </c>
      <c r="K6" s="4">
        <v>604751</v>
      </c>
      <c r="L6" s="4">
        <v>33448231</v>
      </c>
      <c r="M6" s="4">
        <v>1414737</v>
      </c>
      <c r="N6" s="4">
        <v>3000000</v>
      </c>
      <c r="O6" s="4">
        <v>2637032</v>
      </c>
      <c r="P6" s="4">
        <v>1414737</v>
      </c>
      <c r="Q6" s="4">
        <v>0</v>
      </c>
      <c r="R6" s="4">
        <v>0</v>
      </c>
      <c r="S6" s="4">
        <v>0</v>
      </c>
      <c r="T6" s="4">
        <v>0</v>
      </c>
      <c r="U6" s="4">
        <v>3000000</v>
      </c>
      <c r="V6" s="4">
        <v>0</v>
      </c>
      <c r="W6" s="4">
        <v>3000000</v>
      </c>
      <c r="X6" s="4">
        <v>0</v>
      </c>
      <c r="Y6" s="4">
        <v>0</v>
      </c>
      <c r="Z6" s="4">
        <v>0</v>
      </c>
      <c r="AA6" s="4">
        <v>0</v>
      </c>
      <c r="AB6" s="232" t="s">
        <v>767</v>
      </c>
      <c r="AC6" s="3">
        <v>742000</v>
      </c>
      <c r="AD6" s="235"/>
      <c r="AE6" s="235"/>
      <c r="AF6" s="235"/>
      <c r="AG6" s="235"/>
      <c r="AI6" s="249"/>
    </row>
    <row r="7" spans="1:35" s="157" customFormat="1" ht="55.2">
      <c r="A7" s="153">
        <v>3</v>
      </c>
      <c r="B7" s="3">
        <v>1130</v>
      </c>
      <c r="C7" s="232" t="s">
        <v>32</v>
      </c>
      <c r="D7" s="4">
        <v>16000000</v>
      </c>
      <c r="E7" s="4">
        <v>16000000</v>
      </c>
      <c r="F7" s="4">
        <v>0</v>
      </c>
      <c r="G7" s="4">
        <v>15081894</v>
      </c>
      <c r="H7" s="4">
        <v>14325698</v>
      </c>
      <c r="I7" s="4">
        <v>0</v>
      </c>
      <c r="J7" s="4">
        <v>649491</v>
      </c>
      <c r="K7" s="4">
        <v>649491</v>
      </c>
      <c r="L7" s="4">
        <v>14975189</v>
      </c>
      <c r="M7" s="4">
        <v>306705</v>
      </c>
      <c r="N7" s="4">
        <v>400000</v>
      </c>
      <c r="O7" s="4">
        <v>318106</v>
      </c>
      <c r="P7" s="4">
        <v>106705</v>
      </c>
      <c r="Q7" s="4">
        <v>0</v>
      </c>
      <c r="R7" s="4">
        <v>200000</v>
      </c>
      <c r="S7" s="4">
        <v>200000</v>
      </c>
      <c r="T7" s="4">
        <v>0</v>
      </c>
      <c r="U7" s="4">
        <v>400000</v>
      </c>
      <c r="V7" s="4">
        <v>0</v>
      </c>
      <c r="W7" s="4">
        <v>400000</v>
      </c>
      <c r="X7" s="4">
        <v>0</v>
      </c>
      <c r="Y7" s="4">
        <v>0</v>
      </c>
      <c r="Z7" s="4">
        <v>0</v>
      </c>
      <c r="AA7" s="4">
        <v>0</v>
      </c>
      <c r="AB7" s="232" t="s">
        <v>1421</v>
      </c>
      <c r="AC7" s="3">
        <v>742000</v>
      </c>
      <c r="AD7" s="235"/>
      <c r="AE7" s="235"/>
      <c r="AF7" s="235"/>
      <c r="AG7" s="235"/>
      <c r="AI7" s="249"/>
    </row>
    <row r="8" spans="1:35" s="157" customFormat="1" ht="34.950000000000003" customHeight="1">
      <c r="A8" s="153">
        <v>4</v>
      </c>
      <c r="B8" s="3">
        <v>1259</v>
      </c>
      <c r="C8" s="232" t="s">
        <v>53</v>
      </c>
      <c r="D8" s="4">
        <v>5510000</v>
      </c>
      <c r="E8" s="4">
        <v>5460000</v>
      </c>
      <c r="F8" s="4">
        <v>50000</v>
      </c>
      <c r="G8" s="4">
        <v>4810000</v>
      </c>
      <c r="H8" s="4">
        <v>4594915</v>
      </c>
      <c r="I8" s="4">
        <v>0</v>
      </c>
      <c r="J8" s="4">
        <v>214530</v>
      </c>
      <c r="K8" s="4">
        <v>214530</v>
      </c>
      <c r="L8" s="4">
        <v>4809445</v>
      </c>
      <c r="M8" s="4">
        <v>200555</v>
      </c>
      <c r="N8" s="4">
        <v>500000</v>
      </c>
      <c r="O8" s="4">
        <v>0</v>
      </c>
      <c r="P8" s="4">
        <v>555</v>
      </c>
      <c r="Q8" s="4">
        <v>200000</v>
      </c>
      <c r="R8" s="4">
        <v>0</v>
      </c>
      <c r="S8" s="4">
        <v>200000</v>
      </c>
      <c r="T8" s="4">
        <v>0</v>
      </c>
      <c r="U8" s="4">
        <v>500000</v>
      </c>
      <c r="V8" s="4">
        <v>0</v>
      </c>
      <c r="W8" s="4">
        <v>500000</v>
      </c>
      <c r="X8" s="4">
        <v>0</v>
      </c>
      <c r="Y8" s="4">
        <v>0</v>
      </c>
      <c r="Z8" s="4">
        <v>0</v>
      </c>
      <c r="AA8" s="4">
        <v>0</v>
      </c>
      <c r="AB8" s="232" t="s">
        <v>252</v>
      </c>
      <c r="AC8" s="3">
        <v>760000</v>
      </c>
      <c r="AD8" s="235"/>
      <c r="AE8" s="235"/>
      <c r="AF8" s="235"/>
      <c r="AG8" s="235"/>
      <c r="AI8" s="249"/>
    </row>
    <row r="9" spans="1:35" s="157" customFormat="1" ht="34.950000000000003" customHeight="1">
      <c r="A9" s="153">
        <v>5</v>
      </c>
      <c r="B9" s="3">
        <v>1260</v>
      </c>
      <c r="C9" s="232" t="s">
        <v>54</v>
      </c>
      <c r="D9" s="4">
        <v>9858000</v>
      </c>
      <c r="E9" s="4">
        <v>9608000</v>
      </c>
      <c r="F9" s="4">
        <v>250000</v>
      </c>
      <c r="G9" s="4">
        <v>9108000</v>
      </c>
      <c r="H9" s="4">
        <v>8981157</v>
      </c>
      <c r="I9" s="4">
        <v>0</v>
      </c>
      <c r="J9" s="4">
        <v>124521</v>
      </c>
      <c r="K9" s="4">
        <v>124521</v>
      </c>
      <c r="L9" s="4">
        <v>9105678</v>
      </c>
      <c r="M9" s="4">
        <v>252322</v>
      </c>
      <c r="N9" s="4">
        <v>500000</v>
      </c>
      <c r="O9" s="4">
        <v>0</v>
      </c>
      <c r="P9" s="4">
        <v>2322</v>
      </c>
      <c r="Q9" s="4">
        <v>250000</v>
      </c>
      <c r="R9" s="4">
        <v>0</v>
      </c>
      <c r="S9" s="4">
        <v>250000</v>
      </c>
      <c r="T9" s="4">
        <v>0</v>
      </c>
      <c r="U9" s="4">
        <v>500000</v>
      </c>
      <c r="V9" s="4">
        <v>0</v>
      </c>
      <c r="W9" s="4">
        <v>500000</v>
      </c>
      <c r="X9" s="4">
        <v>0</v>
      </c>
      <c r="Y9" s="4">
        <v>0</v>
      </c>
      <c r="Z9" s="4">
        <v>0</v>
      </c>
      <c r="AA9" s="4">
        <v>0</v>
      </c>
      <c r="AB9" s="232" t="s">
        <v>253</v>
      </c>
      <c r="AC9" s="3">
        <v>760000</v>
      </c>
      <c r="AD9" s="235"/>
      <c r="AE9" s="235"/>
      <c r="AF9" s="235"/>
      <c r="AG9" s="235"/>
      <c r="AI9" s="249"/>
    </row>
    <row r="10" spans="1:35" s="157" customFormat="1" ht="41.4">
      <c r="A10" s="153">
        <v>6</v>
      </c>
      <c r="B10" s="3">
        <v>1422</v>
      </c>
      <c r="C10" s="232" t="s">
        <v>55</v>
      </c>
      <c r="D10" s="4">
        <v>30257000</v>
      </c>
      <c r="E10" s="4">
        <v>30257000</v>
      </c>
      <c r="F10" s="4">
        <v>0</v>
      </c>
      <c r="G10" s="4">
        <v>14182000</v>
      </c>
      <c r="H10" s="4">
        <v>7257000</v>
      </c>
      <c r="I10" s="4">
        <v>0</v>
      </c>
      <c r="J10" s="4">
        <v>0</v>
      </c>
      <c r="K10" s="4">
        <v>0</v>
      </c>
      <c r="L10" s="4">
        <v>7257000</v>
      </c>
      <c r="M10" s="4">
        <v>6925000</v>
      </c>
      <c r="N10" s="4">
        <v>0</v>
      </c>
      <c r="O10" s="4">
        <v>16075000</v>
      </c>
      <c r="P10" s="4">
        <v>6925000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232" t="s">
        <v>328</v>
      </c>
      <c r="AC10" s="3">
        <v>730000</v>
      </c>
      <c r="AD10" s="235"/>
      <c r="AE10" s="235"/>
      <c r="AF10" s="235"/>
      <c r="AG10" s="235"/>
      <c r="AI10" s="249"/>
    </row>
    <row r="11" spans="1:35" s="157" customFormat="1" ht="34.950000000000003" customHeight="1">
      <c r="A11" s="153">
        <v>7</v>
      </c>
      <c r="B11" s="3">
        <v>1688</v>
      </c>
      <c r="C11" s="232" t="s">
        <v>56</v>
      </c>
      <c r="D11" s="4">
        <v>15133000</v>
      </c>
      <c r="E11" s="4">
        <v>15133000</v>
      </c>
      <c r="F11" s="4">
        <v>0</v>
      </c>
      <c r="G11" s="4">
        <v>15133000</v>
      </c>
      <c r="H11" s="4">
        <v>15133000</v>
      </c>
      <c r="I11" s="4">
        <v>0</v>
      </c>
      <c r="J11" s="4">
        <v>0</v>
      </c>
      <c r="K11" s="4">
        <v>0</v>
      </c>
      <c r="L11" s="4">
        <v>15133000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32" t="s">
        <v>329</v>
      </c>
      <c r="AC11" s="3">
        <v>990000</v>
      </c>
      <c r="AD11" s="235"/>
      <c r="AE11" s="235"/>
      <c r="AF11" s="235"/>
      <c r="AG11" s="235"/>
      <c r="AI11" s="249"/>
    </row>
    <row r="12" spans="1:35" s="157" customFormat="1" ht="55.2">
      <c r="A12" s="153">
        <v>8</v>
      </c>
      <c r="B12" s="3">
        <v>2100</v>
      </c>
      <c r="C12" s="232" t="s">
        <v>327</v>
      </c>
      <c r="D12" s="4">
        <v>3161603</v>
      </c>
      <c r="E12" s="4">
        <v>3421663</v>
      </c>
      <c r="F12" s="4">
        <v>-260060</v>
      </c>
      <c r="G12" s="4">
        <v>3576663</v>
      </c>
      <c r="H12" s="4">
        <v>3111033</v>
      </c>
      <c r="I12" s="4">
        <v>0</v>
      </c>
      <c r="J12" s="4">
        <v>23384</v>
      </c>
      <c r="K12" s="4">
        <v>23384</v>
      </c>
      <c r="L12" s="4">
        <v>3134417</v>
      </c>
      <c r="M12" s="4">
        <v>24551</v>
      </c>
      <c r="N12" s="4">
        <v>0</v>
      </c>
      <c r="O12" s="4">
        <v>2635</v>
      </c>
      <c r="P12" s="4">
        <v>442246</v>
      </c>
      <c r="Q12" s="4">
        <v>0</v>
      </c>
      <c r="R12" s="4">
        <v>0</v>
      </c>
      <c r="S12" s="4">
        <v>0</v>
      </c>
      <c r="T12" s="4">
        <v>417695</v>
      </c>
      <c r="U12" s="4">
        <v>-417695</v>
      </c>
      <c r="V12" s="4">
        <v>-417695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232" t="s">
        <v>835</v>
      </c>
      <c r="AC12" s="3">
        <v>742000</v>
      </c>
      <c r="AD12" s="235"/>
      <c r="AE12" s="235"/>
      <c r="AF12" s="235"/>
      <c r="AG12" s="235"/>
      <c r="AI12" s="249"/>
    </row>
    <row r="13" spans="1:35" s="5" customFormat="1" ht="55.2">
      <c r="A13" s="153">
        <v>9</v>
      </c>
      <c r="B13" s="3">
        <v>2222</v>
      </c>
      <c r="C13" s="152" t="s">
        <v>1530</v>
      </c>
      <c r="D13" s="4">
        <v>8000000</v>
      </c>
      <c r="E13" s="4">
        <v>8000000</v>
      </c>
      <c r="F13" s="4">
        <v>0</v>
      </c>
      <c r="G13" s="4">
        <v>8000000</v>
      </c>
      <c r="H13" s="4">
        <v>2172946</v>
      </c>
      <c r="I13" s="4">
        <v>0</v>
      </c>
      <c r="J13" s="4">
        <v>1217798</v>
      </c>
      <c r="K13" s="4">
        <v>1217798</v>
      </c>
      <c r="L13" s="4">
        <v>3390744</v>
      </c>
      <c r="M13" s="4">
        <v>1051891</v>
      </c>
      <c r="N13" s="4">
        <v>0</v>
      </c>
      <c r="O13" s="4">
        <v>3557365</v>
      </c>
      <c r="P13" s="4">
        <v>4609256</v>
      </c>
      <c r="Q13" s="4">
        <v>0</v>
      </c>
      <c r="R13" s="4">
        <v>0</v>
      </c>
      <c r="S13" s="4">
        <v>0</v>
      </c>
      <c r="T13" s="4">
        <v>3557365</v>
      </c>
      <c r="U13" s="4">
        <v>-3557365</v>
      </c>
      <c r="V13" s="4">
        <v>0</v>
      </c>
      <c r="W13" s="4">
        <v>-3557365</v>
      </c>
      <c r="X13" s="4">
        <v>0</v>
      </c>
      <c r="Y13" s="4">
        <v>0</v>
      </c>
      <c r="Z13" s="4">
        <v>0</v>
      </c>
      <c r="AA13" s="4">
        <v>0</v>
      </c>
      <c r="AB13" s="232" t="s">
        <v>1531</v>
      </c>
      <c r="AC13" s="3">
        <v>742000</v>
      </c>
      <c r="AD13" s="235"/>
      <c r="AE13" s="235"/>
      <c r="AF13" s="235"/>
      <c r="AG13" s="235"/>
      <c r="AI13" s="249"/>
    </row>
    <row r="14" spans="1:35" s="5" customFormat="1" ht="52.2" customHeight="1">
      <c r="A14" s="153">
        <v>10</v>
      </c>
      <c r="B14" s="3">
        <v>20080</v>
      </c>
      <c r="C14" s="232" t="s">
        <v>1532</v>
      </c>
      <c r="D14" s="4">
        <v>8000000</v>
      </c>
      <c r="E14" s="4">
        <v>0</v>
      </c>
      <c r="F14" s="4">
        <v>8000000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4000000</v>
      </c>
      <c r="O14" s="4">
        <v>4000000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4000000</v>
      </c>
      <c r="V14" s="4">
        <v>0</v>
      </c>
      <c r="W14" s="4">
        <v>4000000</v>
      </c>
      <c r="X14" s="4">
        <v>0</v>
      </c>
      <c r="Y14" s="4">
        <v>0</v>
      </c>
      <c r="Z14" s="4">
        <v>0</v>
      </c>
      <c r="AA14" s="4">
        <v>0</v>
      </c>
      <c r="AB14" s="232" t="s">
        <v>1533</v>
      </c>
      <c r="AC14" s="3">
        <v>742000</v>
      </c>
      <c r="AD14" s="235"/>
      <c r="AE14" s="235"/>
      <c r="AF14" s="235"/>
      <c r="AG14" s="235"/>
      <c r="AI14" s="249"/>
    </row>
    <row r="15" spans="1:35" s="331" customFormat="1" ht="25.05" customHeight="1">
      <c r="A15" s="270">
        <v>10</v>
      </c>
      <c r="B15" s="270"/>
      <c r="C15" s="29" t="s">
        <v>176</v>
      </c>
      <c r="D15" s="330">
        <v>137119603</v>
      </c>
      <c r="E15" s="330">
        <v>129079663</v>
      </c>
      <c r="F15" s="330">
        <v>8039940</v>
      </c>
      <c r="G15" s="330">
        <v>105454525</v>
      </c>
      <c r="H15" s="330">
        <v>88931150</v>
      </c>
      <c r="I15" s="330">
        <v>0</v>
      </c>
      <c r="J15" s="330">
        <v>2834475</v>
      </c>
      <c r="K15" s="330">
        <v>2834475</v>
      </c>
      <c r="L15" s="330">
        <v>91765625</v>
      </c>
      <c r="M15" s="330">
        <v>10183840</v>
      </c>
      <c r="N15" s="330">
        <v>8580000</v>
      </c>
      <c r="O15" s="330">
        <v>26590138</v>
      </c>
      <c r="P15" s="330">
        <v>13688900</v>
      </c>
      <c r="Q15" s="330">
        <v>450000</v>
      </c>
      <c r="R15" s="330">
        <v>200000</v>
      </c>
      <c r="S15" s="330">
        <v>650000</v>
      </c>
      <c r="T15" s="330">
        <v>4155060</v>
      </c>
      <c r="U15" s="330">
        <v>4424940</v>
      </c>
      <c r="V15" s="330">
        <v>-417695</v>
      </c>
      <c r="W15" s="330">
        <v>4842635</v>
      </c>
      <c r="X15" s="330">
        <v>0</v>
      </c>
      <c r="Y15" s="330">
        <v>0</v>
      </c>
      <c r="Z15" s="330">
        <v>0</v>
      </c>
      <c r="AA15" s="330">
        <v>0</v>
      </c>
      <c r="AB15" s="330"/>
      <c r="AC15" s="270"/>
      <c r="AD15" s="235"/>
      <c r="AE15" s="235"/>
      <c r="AF15" s="235"/>
      <c r="AG15" s="235"/>
      <c r="AI15" s="249"/>
    </row>
    <row r="16" spans="1:35" s="331" customFormat="1" ht="19.95" customHeight="1">
      <c r="A16" s="270"/>
      <c r="B16" s="270"/>
      <c r="C16" s="29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270"/>
      <c r="AD16" s="235"/>
      <c r="AE16" s="235"/>
      <c r="AF16" s="235"/>
      <c r="AG16" s="235"/>
      <c r="AI16" s="249"/>
    </row>
    <row r="17" spans="1:48" ht="34.950000000000003" hidden="1" customHeight="1">
      <c r="A17" s="602"/>
      <c r="B17" s="163"/>
      <c r="C17" s="163"/>
      <c r="D17" s="427"/>
      <c r="E17" s="427"/>
      <c r="F17" s="427"/>
      <c r="G17" s="427"/>
      <c r="H17" s="427"/>
      <c r="I17" s="427"/>
      <c r="J17" s="427"/>
      <c r="K17" s="427"/>
      <c r="L17" s="427">
        <v>91765625</v>
      </c>
      <c r="M17" s="427">
        <v>10183840</v>
      </c>
      <c r="N17" s="427"/>
      <c r="O17" s="427"/>
      <c r="P17" s="427">
        <v>13688900</v>
      </c>
      <c r="Q17" s="427"/>
      <c r="R17" s="427"/>
      <c r="S17" s="427"/>
      <c r="T17" s="427"/>
      <c r="U17" s="163"/>
      <c r="V17" s="163"/>
      <c r="W17" s="163"/>
      <c r="X17" s="163"/>
      <c r="Y17" s="163"/>
      <c r="Z17" s="163"/>
      <c r="AA17" s="163"/>
      <c r="AB17" s="250"/>
      <c r="AC17" s="163"/>
    </row>
    <row r="18" spans="1:48" s="238" customFormat="1" ht="25.05" customHeight="1">
      <c r="A18" s="241"/>
      <c r="B18" s="241"/>
      <c r="C18" s="412" t="s">
        <v>81</v>
      </c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241"/>
      <c r="V18" s="241"/>
      <c r="W18" s="241"/>
      <c r="X18" s="241"/>
      <c r="Y18" s="241"/>
      <c r="Z18" s="241"/>
      <c r="AA18" s="241"/>
      <c r="AB18" s="153"/>
      <c r="AC18" s="241"/>
      <c r="AD18" s="603"/>
      <c r="AE18" s="603"/>
      <c r="AF18" s="603"/>
      <c r="AG18" s="603"/>
      <c r="AI18" s="249"/>
    </row>
    <row r="19" spans="1:48" s="184" customFormat="1" ht="55.2">
      <c r="A19" s="3">
        <v>1</v>
      </c>
      <c r="B19" s="3">
        <v>1134</v>
      </c>
      <c r="C19" s="232" t="s">
        <v>57</v>
      </c>
      <c r="D19" s="4">
        <v>2905000</v>
      </c>
      <c r="E19" s="4">
        <v>2805000</v>
      </c>
      <c r="F19" s="4">
        <v>100000</v>
      </c>
      <c r="G19" s="4">
        <v>2755000</v>
      </c>
      <c r="H19" s="4">
        <v>2582388</v>
      </c>
      <c r="I19" s="4">
        <v>0</v>
      </c>
      <c r="J19" s="4">
        <v>106673</v>
      </c>
      <c r="K19" s="4">
        <v>106673</v>
      </c>
      <c r="L19" s="4">
        <v>2689061</v>
      </c>
      <c r="M19" s="4">
        <v>5939</v>
      </c>
      <c r="N19" s="4">
        <v>210000</v>
      </c>
      <c r="O19" s="4">
        <v>0</v>
      </c>
      <c r="P19" s="4">
        <v>65939</v>
      </c>
      <c r="Q19" s="4">
        <v>0</v>
      </c>
      <c r="R19" s="4">
        <v>0</v>
      </c>
      <c r="S19" s="4">
        <v>0</v>
      </c>
      <c r="T19" s="4">
        <v>60000</v>
      </c>
      <c r="U19" s="4">
        <v>150000</v>
      </c>
      <c r="V19" s="4">
        <v>0</v>
      </c>
      <c r="W19" s="4">
        <v>150000</v>
      </c>
      <c r="X19" s="4">
        <v>0</v>
      </c>
      <c r="Y19" s="4">
        <v>0</v>
      </c>
      <c r="Z19" s="4">
        <v>0</v>
      </c>
      <c r="AA19" s="4">
        <v>0</v>
      </c>
      <c r="AB19" s="232" t="s">
        <v>1423</v>
      </c>
      <c r="AC19" s="3">
        <v>746000</v>
      </c>
      <c r="AD19" s="235"/>
      <c r="AE19" s="235"/>
      <c r="AF19" s="235"/>
      <c r="AG19" s="235"/>
      <c r="AH19" s="372"/>
      <c r="AI19" s="249"/>
      <c r="AJ19" s="372"/>
      <c r="AK19" s="372"/>
      <c r="AL19" s="372"/>
      <c r="AM19" s="372"/>
      <c r="AN19" s="372"/>
      <c r="AO19" s="372"/>
      <c r="AP19" s="372"/>
    </row>
    <row r="20" spans="1:48" s="184" customFormat="1" ht="34.950000000000003" customHeight="1">
      <c r="A20" s="3">
        <v>2</v>
      </c>
      <c r="B20" s="3">
        <v>1345</v>
      </c>
      <c r="C20" s="232" t="s">
        <v>362</v>
      </c>
      <c r="D20" s="4">
        <v>883000</v>
      </c>
      <c r="E20" s="4">
        <v>883000</v>
      </c>
      <c r="F20" s="4">
        <v>0</v>
      </c>
      <c r="G20" s="4">
        <v>883000</v>
      </c>
      <c r="H20" s="4">
        <v>842424</v>
      </c>
      <c r="I20" s="4">
        <v>0</v>
      </c>
      <c r="J20" s="4">
        <v>16672</v>
      </c>
      <c r="K20" s="4">
        <v>16672</v>
      </c>
      <c r="L20" s="4">
        <v>859096</v>
      </c>
      <c r="M20" s="4">
        <v>23904</v>
      </c>
      <c r="N20" s="4">
        <v>0</v>
      </c>
      <c r="O20" s="4">
        <v>0</v>
      </c>
      <c r="P20" s="4">
        <v>23904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232" t="s">
        <v>435</v>
      </c>
      <c r="AC20" s="3">
        <v>870000</v>
      </c>
      <c r="AD20" s="235"/>
      <c r="AE20" s="235"/>
      <c r="AF20" s="235"/>
      <c r="AG20" s="235"/>
      <c r="AH20" s="372"/>
      <c r="AI20" s="249"/>
      <c r="AJ20" s="372"/>
      <c r="AK20" s="372"/>
      <c r="AL20" s="372"/>
      <c r="AM20" s="372"/>
      <c r="AN20" s="372"/>
      <c r="AO20" s="372"/>
      <c r="AP20" s="372"/>
    </row>
    <row r="21" spans="1:48" s="184" customFormat="1" ht="34.950000000000003" customHeight="1">
      <c r="A21" s="3">
        <v>3</v>
      </c>
      <c r="B21" s="3">
        <v>1598</v>
      </c>
      <c r="C21" s="232" t="s">
        <v>58</v>
      </c>
      <c r="D21" s="4">
        <v>716500</v>
      </c>
      <c r="E21" s="4">
        <v>666500</v>
      </c>
      <c r="F21" s="4">
        <v>50000</v>
      </c>
      <c r="G21" s="4">
        <v>616500</v>
      </c>
      <c r="H21" s="4">
        <v>525252</v>
      </c>
      <c r="I21" s="4">
        <v>0</v>
      </c>
      <c r="J21" s="4">
        <v>72515</v>
      </c>
      <c r="K21" s="4">
        <v>72515</v>
      </c>
      <c r="L21" s="4">
        <v>597767</v>
      </c>
      <c r="M21" s="4">
        <v>18733</v>
      </c>
      <c r="N21" s="4">
        <v>100000</v>
      </c>
      <c r="O21" s="4">
        <v>0</v>
      </c>
      <c r="P21" s="4">
        <v>18733</v>
      </c>
      <c r="Q21" s="4">
        <v>0</v>
      </c>
      <c r="R21" s="4">
        <v>0</v>
      </c>
      <c r="S21" s="4">
        <v>0</v>
      </c>
      <c r="T21" s="4">
        <v>0</v>
      </c>
      <c r="U21" s="4">
        <v>100000</v>
      </c>
      <c r="V21" s="4">
        <v>0</v>
      </c>
      <c r="W21" s="4">
        <v>153304</v>
      </c>
      <c r="X21" s="4">
        <v>0</v>
      </c>
      <c r="Y21" s="4">
        <v>0</v>
      </c>
      <c r="Z21" s="4">
        <v>0</v>
      </c>
      <c r="AA21" s="4">
        <v>-53304</v>
      </c>
      <c r="AB21" s="232" t="s">
        <v>464</v>
      </c>
      <c r="AC21" s="3">
        <v>870000</v>
      </c>
      <c r="AD21" s="235"/>
      <c r="AE21" s="235"/>
      <c r="AF21" s="235"/>
      <c r="AG21" s="235"/>
      <c r="AH21" s="372"/>
      <c r="AI21" s="249"/>
      <c r="AJ21" s="372"/>
      <c r="AK21" s="372"/>
      <c r="AL21" s="372"/>
      <c r="AM21" s="372"/>
      <c r="AN21" s="372"/>
      <c r="AO21" s="372"/>
      <c r="AP21" s="372"/>
    </row>
    <row r="22" spans="1:48" s="184" customFormat="1" ht="34.950000000000003" customHeight="1">
      <c r="A22" s="3">
        <v>4</v>
      </c>
      <c r="B22" s="3">
        <v>1817</v>
      </c>
      <c r="C22" s="232" t="s">
        <v>101</v>
      </c>
      <c r="D22" s="4">
        <v>940000</v>
      </c>
      <c r="E22" s="4">
        <v>872000</v>
      </c>
      <c r="F22" s="4">
        <v>68000</v>
      </c>
      <c r="G22" s="4">
        <v>840000</v>
      </c>
      <c r="H22" s="4">
        <v>709989</v>
      </c>
      <c r="I22" s="4">
        <v>0</v>
      </c>
      <c r="J22" s="4">
        <v>102262</v>
      </c>
      <c r="K22" s="4">
        <v>102262</v>
      </c>
      <c r="L22" s="4">
        <v>812251</v>
      </c>
      <c r="M22" s="4">
        <v>27749</v>
      </c>
      <c r="N22" s="4">
        <v>100000</v>
      </c>
      <c r="O22" s="4">
        <v>0</v>
      </c>
      <c r="P22" s="4">
        <v>27749</v>
      </c>
      <c r="Q22" s="4">
        <v>0</v>
      </c>
      <c r="R22" s="4">
        <v>0</v>
      </c>
      <c r="S22" s="4">
        <v>0</v>
      </c>
      <c r="T22" s="4">
        <v>0</v>
      </c>
      <c r="U22" s="4">
        <v>100000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100000</v>
      </c>
      <c r="AB22" s="232" t="s">
        <v>597</v>
      </c>
      <c r="AC22" s="3">
        <v>810000</v>
      </c>
      <c r="AD22" s="235"/>
      <c r="AE22" s="235"/>
      <c r="AF22" s="235"/>
      <c r="AG22" s="235"/>
      <c r="AH22" s="372"/>
      <c r="AI22" s="249"/>
      <c r="AJ22" s="372"/>
      <c r="AK22" s="372"/>
      <c r="AL22" s="372"/>
      <c r="AM22" s="372"/>
      <c r="AN22" s="372"/>
      <c r="AO22" s="372"/>
      <c r="AP22" s="372"/>
    </row>
    <row r="23" spans="1:48" s="184" customFormat="1" ht="90.6" customHeight="1">
      <c r="A23" s="3">
        <v>5</v>
      </c>
      <c r="B23" s="3">
        <v>1922</v>
      </c>
      <c r="C23" s="232" t="s">
        <v>118</v>
      </c>
      <c r="D23" s="4">
        <v>330000</v>
      </c>
      <c r="E23" s="4">
        <v>330000</v>
      </c>
      <c r="F23" s="4">
        <v>0</v>
      </c>
      <c r="G23" s="4">
        <v>200000</v>
      </c>
      <c r="H23" s="4">
        <v>95338</v>
      </c>
      <c r="I23" s="4">
        <v>0</v>
      </c>
      <c r="J23" s="4">
        <v>0</v>
      </c>
      <c r="K23" s="4">
        <v>0</v>
      </c>
      <c r="L23" s="4">
        <v>95338</v>
      </c>
      <c r="M23" s="4">
        <v>104662</v>
      </c>
      <c r="N23" s="4">
        <v>0</v>
      </c>
      <c r="O23" s="4">
        <v>130000</v>
      </c>
      <c r="P23" s="4">
        <v>104662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232" t="s">
        <v>1424</v>
      </c>
      <c r="AC23" s="3">
        <v>870000</v>
      </c>
      <c r="AD23" s="235"/>
      <c r="AE23" s="235"/>
      <c r="AF23" s="235"/>
      <c r="AG23" s="235"/>
      <c r="AH23" s="372"/>
      <c r="AI23" s="249"/>
      <c r="AJ23" s="372"/>
      <c r="AK23" s="372"/>
      <c r="AL23" s="372"/>
      <c r="AM23" s="372"/>
      <c r="AN23" s="372"/>
      <c r="AO23" s="372"/>
      <c r="AP23" s="372"/>
    </row>
    <row r="24" spans="1:48" s="184" customFormat="1" ht="34.950000000000003" customHeight="1">
      <c r="A24" s="3">
        <v>6</v>
      </c>
      <c r="B24" s="3">
        <v>2066</v>
      </c>
      <c r="C24" s="232" t="s">
        <v>302</v>
      </c>
      <c r="D24" s="4">
        <v>112500</v>
      </c>
      <c r="E24" s="4">
        <v>112500</v>
      </c>
      <c r="F24" s="4">
        <v>0</v>
      </c>
      <c r="G24" s="4">
        <v>112500</v>
      </c>
      <c r="H24" s="4">
        <v>111299</v>
      </c>
      <c r="I24" s="4">
        <v>0</v>
      </c>
      <c r="J24" s="4">
        <v>0</v>
      </c>
      <c r="K24" s="4">
        <v>0</v>
      </c>
      <c r="L24" s="4">
        <v>111299</v>
      </c>
      <c r="M24" s="4">
        <v>1201</v>
      </c>
      <c r="N24" s="4">
        <v>0</v>
      </c>
      <c r="O24" s="4">
        <v>0</v>
      </c>
      <c r="P24" s="4">
        <v>1201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232" t="s">
        <v>522</v>
      </c>
      <c r="AC24" s="3">
        <v>732000</v>
      </c>
      <c r="AD24" s="235"/>
      <c r="AE24" s="235"/>
      <c r="AF24" s="235"/>
      <c r="AG24" s="235"/>
      <c r="AH24" s="372"/>
      <c r="AI24" s="249"/>
      <c r="AJ24" s="372"/>
      <c r="AK24" s="372"/>
      <c r="AL24" s="372"/>
      <c r="AM24" s="372"/>
      <c r="AN24" s="372"/>
      <c r="AO24" s="372"/>
      <c r="AP24" s="372"/>
    </row>
    <row r="25" spans="1:48" s="383" customFormat="1" ht="55.2">
      <c r="A25" s="3">
        <v>7</v>
      </c>
      <c r="B25" s="3">
        <v>2168</v>
      </c>
      <c r="C25" s="232" t="s">
        <v>443</v>
      </c>
      <c r="D25" s="4">
        <v>100000</v>
      </c>
      <c r="E25" s="4">
        <v>100000</v>
      </c>
      <c r="F25" s="4">
        <v>0</v>
      </c>
      <c r="G25" s="4">
        <v>100000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10000</v>
      </c>
      <c r="N25" s="4">
        <v>90000</v>
      </c>
      <c r="O25" s="4">
        <v>0</v>
      </c>
      <c r="P25" s="4">
        <v>100000</v>
      </c>
      <c r="Q25" s="4">
        <v>0</v>
      </c>
      <c r="R25" s="4">
        <v>0</v>
      </c>
      <c r="S25" s="4">
        <v>0</v>
      </c>
      <c r="T25" s="4">
        <v>90000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232" t="s">
        <v>942</v>
      </c>
      <c r="AC25" s="3">
        <v>746000</v>
      </c>
      <c r="AD25" s="235"/>
      <c r="AE25" s="235"/>
      <c r="AF25" s="235"/>
      <c r="AG25" s="235"/>
      <c r="AH25" s="444"/>
      <c r="AI25" s="249"/>
      <c r="AJ25" s="444"/>
      <c r="AK25" s="444"/>
      <c r="AL25" s="444"/>
      <c r="AM25" s="444"/>
      <c r="AN25" s="444"/>
      <c r="AO25" s="444"/>
      <c r="AP25" s="444"/>
    </row>
    <row r="26" spans="1:48" s="383" customFormat="1" ht="34.950000000000003" customHeight="1">
      <c r="A26" s="3">
        <v>8</v>
      </c>
      <c r="B26" s="3">
        <v>20019</v>
      </c>
      <c r="C26" s="232" t="s">
        <v>715</v>
      </c>
      <c r="D26" s="4">
        <v>100000</v>
      </c>
      <c r="E26" s="4">
        <v>100000</v>
      </c>
      <c r="F26" s="4">
        <v>0</v>
      </c>
      <c r="G26" s="4">
        <v>100000</v>
      </c>
      <c r="H26" s="4">
        <v>0</v>
      </c>
      <c r="I26" s="4">
        <v>0</v>
      </c>
      <c r="J26" s="4">
        <v>1000</v>
      </c>
      <c r="K26" s="4">
        <v>1000</v>
      </c>
      <c r="L26" s="4">
        <v>1000</v>
      </c>
      <c r="M26" s="4">
        <v>9000</v>
      </c>
      <c r="N26" s="4">
        <v>90000</v>
      </c>
      <c r="O26" s="4">
        <v>0</v>
      </c>
      <c r="P26" s="4">
        <v>99000</v>
      </c>
      <c r="Q26" s="4">
        <v>0</v>
      </c>
      <c r="R26" s="4">
        <v>0</v>
      </c>
      <c r="S26" s="4">
        <v>0</v>
      </c>
      <c r="T26" s="4">
        <v>90000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232" t="s">
        <v>858</v>
      </c>
      <c r="AC26" s="3">
        <v>870000</v>
      </c>
      <c r="AD26" s="235"/>
      <c r="AE26" s="235"/>
      <c r="AF26" s="235"/>
      <c r="AG26" s="235"/>
      <c r="AH26" s="444"/>
      <c r="AI26" s="249"/>
      <c r="AJ26" s="444"/>
      <c r="AK26" s="444"/>
      <c r="AL26" s="444"/>
      <c r="AM26" s="444"/>
      <c r="AN26" s="444"/>
      <c r="AO26" s="444"/>
      <c r="AP26" s="444"/>
    </row>
    <row r="27" spans="1:48" s="5" customFormat="1" ht="55.2">
      <c r="A27" s="3">
        <v>9</v>
      </c>
      <c r="B27" s="3">
        <v>20079</v>
      </c>
      <c r="C27" s="232" t="s">
        <v>932</v>
      </c>
      <c r="D27" s="4">
        <v>100000</v>
      </c>
      <c r="E27" s="4">
        <v>0</v>
      </c>
      <c r="F27" s="4">
        <v>100000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100000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100000</v>
      </c>
      <c r="V27" s="4">
        <v>0</v>
      </c>
      <c r="W27" s="4">
        <v>100000</v>
      </c>
      <c r="X27" s="4">
        <v>0</v>
      </c>
      <c r="Y27" s="4">
        <v>0</v>
      </c>
      <c r="Z27" s="4">
        <v>0</v>
      </c>
      <c r="AA27" s="4">
        <v>0</v>
      </c>
      <c r="AB27" s="232" t="s">
        <v>1419</v>
      </c>
      <c r="AC27" s="3">
        <v>870000</v>
      </c>
      <c r="AD27" s="235"/>
      <c r="AE27" s="235"/>
      <c r="AF27" s="235"/>
      <c r="AG27" s="235"/>
      <c r="AH27" s="299"/>
      <c r="AI27" s="24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</row>
    <row r="28" spans="1:48" s="57" customFormat="1" ht="25.05" customHeight="1">
      <c r="A28" s="29">
        <v>9</v>
      </c>
      <c r="B28" s="29"/>
      <c r="C28" s="29" t="s">
        <v>933</v>
      </c>
      <c r="D28" s="60">
        <v>6187000</v>
      </c>
      <c r="E28" s="60">
        <v>5869000</v>
      </c>
      <c r="F28" s="60">
        <v>318000</v>
      </c>
      <c r="G28" s="60">
        <v>5607000</v>
      </c>
      <c r="H28" s="60">
        <v>4866690</v>
      </c>
      <c r="I28" s="60">
        <v>0</v>
      </c>
      <c r="J28" s="60">
        <v>299122</v>
      </c>
      <c r="K28" s="60">
        <v>299122</v>
      </c>
      <c r="L28" s="60">
        <v>5165812</v>
      </c>
      <c r="M28" s="60">
        <v>201188</v>
      </c>
      <c r="N28" s="60">
        <v>690000</v>
      </c>
      <c r="O28" s="60">
        <v>130000</v>
      </c>
      <c r="P28" s="60">
        <v>441188</v>
      </c>
      <c r="Q28" s="60">
        <v>0</v>
      </c>
      <c r="R28" s="60">
        <v>0</v>
      </c>
      <c r="S28" s="60">
        <v>0</v>
      </c>
      <c r="T28" s="60">
        <v>240000</v>
      </c>
      <c r="U28" s="60">
        <v>450000</v>
      </c>
      <c r="V28" s="60">
        <v>0</v>
      </c>
      <c r="W28" s="60">
        <v>403304</v>
      </c>
      <c r="X28" s="60">
        <v>0</v>
      </c>
      <c r="Y28" s="60">
        <v>0</v>
      </c>
      <c r="Z28" s="60">
        <v>0</v>
      </c>
      <c r="AA28" s="60">
        <v>46696</v>
      </c>
      <c r="AB28" s="29"/>
      <c r="AC28" s="29"/>
      <c r="AD28" s="235"/>
      <c r="AE28" s="235"/>
      <c r="AF28" s="235"/>
      <c r="AG28" s="235"/>
      <c r="AH28" s="60"/>
      <c r="AI28" s="249"/>
      <c r="AJ28" s="445"/>
      <c r="AK28" s="445"/>
      <c r="AL28" s="445"/>
      <c r="AM28" s="445"/>
      <c r="AN28" s="445"/>
      <c r="AO28" s="445"/>
      <c r="AP28" s="445"/>
      <c r="AQ28" s="445"/>
      <c r="AR28" s="445"/>
      <c r="AS28" s="445"/>
      <c r="AT28" s="445"/>
      <c r="AU28" s="445"/>
      <c r="AV28" s="445"/>
    </row>
    <row r="29" spans="1:48" ht="25.05" customHeight="1">
      <c r="A29" s="602"/>
      <c r="B29" s="163"/>
      <c r="C29" s="163"/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163"/>
      <c r="V29" s="163"/>
      <c r="W29" s="163"/>
      <c r="X29" s="163"/>
      <c r="Y29" s="163"/>
      <c r="Z29" s="163"/>
      <c r="AA29" s="163"/>
      <c r="AB29" s="250"/>
      <c r="AC29" s="163"/>
    </row>
    <row r="30" spans="1:48" s="57" customFormat="1" ht="25.05" customHeight="1">
      <c r="A30" s="60">
        <v>19</v>
      </c>
      <c r="B30" s="29"/>
      <c r="C30" s="29" t="s">
        <v>320</v>
      </c>
      <c r="D30" s="60">
        <v>143306603</v>
      </c>
      <c r="E30" s="60">
        <v>134948663</v>
      </c>
      <c r="F30" s="60">
        <v>8357940</v>
      </c>
      <c r="G30" s="60">
        <v>111061525</v>
      </c>
      <c r="H30" s="60">
        <v>93797840</v>
      </c>
      <c r="I30" s="60">
        <v>0</v>
      </c>
      <c r="J30" s="60">
        <v>3133597</v>
      </c>
      <c r="K30" s="60">
        <v>3133597</v>
      </c>
      <c r="L30" s="60">
        <v>96931437</v>
      </c>
      <c r="M30" s="60">
        <v>10385028</v>
      </c>
      <c r="N30" s="60">
        <v>9270000</v>
      </c>
      <c r="O30" s="60">
        <v>26720138</v>
      </c>
      <c r="P30" s="60">
        <v>14130088</v>
      </c>
      <c r="Q30" s="60">
        <v>450000</v>
      </c>
      <c r="R30" s="60">
        <v>200000</v>
      </c>
      <c r="S30" s="60">
        <v>650000</v>
      </c>
      <c r="T30" s="60">
        <v>4395060</v>
      </c>
      <c r="U30" s="60">
        <v>4874940</v>
      </c>
      <c r="V30" s="60">
        <v>-417695</v>
      </c>
      <c r="W30" s="60">
        <v>5245939</v>
      </c>
      <c r="X30" s="60">
        <v>0</v>
      </c>
      <c r="Y30" s="60">
        <v>0</v>
      </c>
      <c r="Z30" s="60">
        <v>0</v>
      </c>
      <c r="AA30" s="60">
        <v>46696</v>
      </c>
      <c r="AB30" s="29"/>
      <c r="AC30" s="29"/>
      <c r="AD30" s="235"/>
      <c r="AE30" s="235"/>
      <c r="AF30" s="235"/>
      <c r="AG30" s="235"/>
      <c r="AH30" s="445"/>
      <c r="AI30" s="249"/>
      <c r="AJ30" s="445"/>
      <c r="AK30" s="445"/>
      <c r="AL30" s="445"/>
      <c r="AM30" s="445"/>
      <c r="AN30" s="445"/>
      <c r="AO30" s="445"/>
      <c r="AP30" s="445"/>
      <c r="AQ30" s="445"/>
      <c r="AR30" s="445"/>
      <c r="AS30" s="445"/>
      <c r="AT30" s="445"/>
      <c r="AU30" s="445"/>
      <c r="AV30" s="445"/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conditionalFormatting sqref="AB4">
    <cfRule type="cellIs" dxfId="94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2"/>
  <sheetViews>
    <sheetView showZeros="0" rightToLeft="1" tabSelected="1" topLeftCell="A4" zoomScaleNormal="100" workbookViewId="0">
      <selection activeCell="M31" sqref="M31"/>
    </sheetView>
  </sheetViews>
  <sheetFormatPr defaultColWidth="9.109375" defaultRowHeight="13.2"/>
  <cols>
    <col min="1" max="7" width="9.109375" style="184"/>
    <col min="9" max="16384" width="9.109375" style="184"/>
  </cols>
  <sheetData>
    <row r="4" spans="1:9" ht="18">
      <c r="A4" s="58" t="s">
        <v>1375</v>
      </c>
    </row>
    <row r="7" spans="1:9" ht="24.9" customHeight="1">
      <c r="A7" s="185" t="s">
        <v>204</v>
      </c>
      <c r="B7" s="186"/>
      <c r="C7" s="186"/>
      <c r="D7" s="186"/>
      <c r="E7" s="186"/>
      <c r="F7" s="186"/>
      <c r="G7" s="186"/>
      <c r="I7" s="185" t="s">
        <v>205</v>
      </c>
    </row>
    <row r="8" spans="1:9" ht="15" customHeight="1"/>
    <row r="9" spans="1:9" ht="24.9" customHeight="1">
      <c r="A9" s="186" t="s">
        <v>1338</v>
      </c>
      <c r="I9" s="316"/>
    </row>
    <row r="10" spans="1:9" ht="24.9" customHeight="1">
      <c r="A10" s="186" t="s">
        <v>228</v>
      </c>
      <c r="I10" s="186">
        <v>98</v>
      </c>
    </row>
    <row r="11" spans="1:9" ht="24.9" customHeight="1">
      <c r="A11" s="186" t="s">
        <v>339</v>
      </c>
      <c r="I11" s="187" t="s">
        <v>1376</v>
      </c>
    </row>
    <row r="12" spans="1:9" ht="24.9" customHeight="1">
      <c r="A12" s="186" t="s">
        <v>180</v>
      </c>
      <c r="I12" s="187" t="s">
        <v>1377</v>
      </c>
    </row>
    <row r="13" spans="1:9" ht="24.9" customHeight="1">
      <c r="A13" s="186" t="s">
        <v>700</v>
      </c>
      <c r="I13" s="187" t="s">
        <v>1378</v>
      </c>
    </row>
    <row r="14" spans="1:9" ht="24.9" customHeight="1">
      <c r="A14" s="186" t="s">
        <v>240</v>
      </c>
      <c r="I14" s="187" t="s">
        <v>1379</v>
      </c>
    </row>
    <row r="15" spans="1:9" ht="24.9" customHeight="1">
      <c r="A15" s="186" t="s">
        <v>314</v>
      </c>
      <c r="I15" s="187">
        <v>127</v>
      </c>
    </row>
    <row r="16" spans="1:9" ht="24.9" customHeight="1">
      <c r="A16" s="186" t="s">
        <v>87</v>
      </c>
      <c r="I16" s="187">
        <v>128</v>
      </c>
    </row>
    <row r="17" spans="1:9" ht="24.9" customHeight="1">
      <c r="A17" s="186" t="s">
        <v>322</v>
      </c>
      <c r="I17" s="187">
        <v>129</v>
      </c>
    </row>
    <row r="18" spans="1:9" ht="24.9" customHeight="1">
      <c r="A18" s="186" t="s">
        <v>321</v>
      </c>
      <c r="I18" s="187">
        <v>130</v>
      </c>
    </row>
    <row r="19" spans="1:9" ht="24.9" customHeight="1">
      <c r="A19" s="186" t="s">
        <v>213</v>
      </c>
      <c r="I19" s="187">
        <v>131</v>
      </c>
    </row>
    <row r="20" spans="1:9" ht="24.9" customHeight="1">
      <c r="A20" s="186" t="s">
        <v>1380</v>
      </c>
      <c r="I20" s="187" t="s">
        <v>1381</v>
      </c>
    </row>
    <row r="21" spans="1:9" ht="24.9" customHeight="1">
      <c r="A21" s="186"/>
      <c r="I21" s="186"/>
    </row>
    <row r="22" spans="1:9" ht="15.6">
      <c r="A22" s="18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35"/>
  <sheetViews>
    <sheetView showZeros="0" rightToLeft="1" tabSelected="1" zoomScaleNormal="100" workbookViewId="0">
      <pane xSplit="1" ySplit="5" topLeftCell="B6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5.6"/>
  <cols>
    <col min="1" max="1" width="15.44140625" style="44" customWidth="1"/>
    <col min="2" max="3" width="12.6640625" style="45" hidden="1" customWidth="1"/>
    <col min="4" max="4" width="11.109375" style="45" hidden="1" customWidth="1"/>
    <col min="5" max="6" width="12.6640625" style="45" hidden="1" customWidth="1"/>
    <col min="7" max="9" width="11.109375" style="45" hidden="1" customWidth="1"/>
    <col min="10" max="10" width="12.6640625" style="40" hidden="1" customWidth="1"/>
    <col min="11" max="12" width="11.109375" style="45" hidden="1" customWidth="1"/>
    <col min="13" max="13" width="12.6640625" style="45" hidden="1" customWidth="1"/>
    <col min="14" max="14" width="11.109375" style="40" hidden="1" customWidth="1"/>
    <col min="15" max="17" width="11.109375" style="45" hidden="1" customWidth="1"/>
    <col min="18" max="18" width="11.33203125" style="45" customWidth="1"/>
    <col min="19" max="19" width="12.44140625" style="45" customWidth="1"/>
    <col min="20" max="20" width="11.88671875" style="45" customWidth="1"/>
    <col min="21" max="21" width="10.109375" style="45" bestFit="1" customWidth="1"/>
    <col min="22" max="22" width="10.6640625" style="45" hidden="1" customWidth="1"/>
    <col min="23" max="23" width="11.109375" style="45" bestFit="1" customWidth="1"/>
    <col min="24" max="24" width="10.109375" style="45" bestFit="1" customWidth="1"/>
    <col min="25" max="25" width="11.88671875" style="45" customWidth="1"/>
    <col min="26" max="34" width="11.6640625" style="40" hidden="1" customWidth="1"/>
    <col min="35" max="35" width="12.33203125" style="42" customWidth="1"/>
    <col min="36" max="36" width="12.5546875" style="42" customWidth="1"/>
    <col min="37" max="37" width="11.6640625" style="42" customWidth="1"/>
    <col min="38" max="38" width="10.88671875" style="42" customWidth="1"/>
    <col min="39" max="39" width="11.6640625" style="42" hidden="1" customWidth="1"/>
    <col min="40" max="40" width="9.6640625" style="42" customWidth="1"/>
    <col min="41" max="41" width="9.77734375" style="42" customWidth="1"/>
    <col min="42" max="42" width="10.6640625" style="42" customWidth="1"/>
    <col min="43" max="43" width="9.44140625" style="40" customWidth="1"/>
    <col min="44" max="44" width="11" style="40" customWidth="1"/>
    <col min="45" max="45" width="10.33203125" style="40" customWidth="1"/>
    <col min="46" max="46" width="14.109375" style="40" customWidth="1"/>
    <col min="47" max="16384" width="9.109375" style="42"/>
  </cols>
  <sheetData>
    <row r="2" spans="1:46" s="32" customFormat="1" ht="22.8">
      <c r="A2" s="225" t="s">
        <v>1045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40"/>
      <c r="AA2" s="40"/>
      <c r="AB2" s="40"/>
      <c r="AC2" s="40"/>
      <c r="AD2" s="40"/>
      <c r="AE2" s="40"/>
      <c r="AF2" s="40"/>
      <c r="AG2" s="40"/>
      <c r="AH2" s="40"/>
      <c r="AQ2" s="40"/>
      <c r="AR2" s="40"/>
      <c r="AS2" s="40"/>
      <c r="AT2" s="40"/>
    </row>
    <row r="3" spans="1:46" s="257" customFormat="1" ht="20.100000000000001" customHeight="1">
      <c r="A3" s="255"/>
      <c r="B3" s="219"/>
      <c r="C3" s="256"/>
      <c r="D3" s="256"/>
      <c r="E3" s="256"/>
      <c r="F3" s="256"/>
      <c r="G3" s="256"/>
      <c r="H3" s="256"/>
      <c r="I3" s="256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40"/>
      <c r="AA3" s="40"/>
      <c r="AB3" s="40"/>
      <c r="AC3" s="40"/>
      <c r="AD3" s="40"/>
      <c r="AE3" s="40"/>
      <c r="AF3" s="40"/>
      <c r="AG3" s="40"/>
      <c r="AH3" s="40"/>
      <c r="AQ3" s="40"/>
      <c r="AR3" s="40"/>
      <c r="AS3" s="40"/>
      <c r="AT3" s="40"/>
    </row>
    <row r="4" spans="1:46" s="37" customFormat="1" ht="25.2" customHeight="1">
      <c r="A4" s="36"/>
      <c r="B4" s="622" t="s">
        <v>82</v>
      </c>
      <c r="C4" s="622"/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06"/>
      <c r="Q4" s="606"/>
      <c r="R4" s="643" t="s">
        <v>1426</v>
      </c>
      <c r="S4" s="643"/>
      <c r="T4" s="640" t="s">
        <v>83</v>
      </c>
      <c r="U4" s="641"/>
      <c r="V4" s="641"/>
      <c r="W4" s="641"/>
      <c r="X4" s="641"/>
      <c r="Y4" s="642"/>
      <c r="Z4" s="640" t="s">
        <v>207</v>
      </c>
      <c r="AA4" s="641"/>
      <c r="AB4" s="641"/>
      <c r="AC4" s="641"/>
      <c r="AD4" s="641"/>
      <c r="AE4" s="641"/>
      <c r="AF4" s="641"/>
      <c r="AG4" s="641"/>
      <c r="AH4" s="641"/>
      <c r="AI4" s="642"/>
      <c r="AJ4" s="391"/>
      <c r="AK4" s="640" t="s">
        <v>1047</v>
      </c>
      <c r="AL4" s="641"/>
      <c r="AM4" s="641"/>
      <c r="AN4" s="641"/>
      <c r="AO4" s="641"/>
      <c r="AP4" s="642"/>
      <c r="AQ4" s="40"/>
      <c r="AR4" s="40"/>
      <c r="AS4" s="40"/>
      <c r="AT4" s="40"/>
    </row>
    <row r="5" spans="1:46" s="31" customFormat="1" ht="69">
      <c r="A5" s="36" t="s">
        <v>643</v>
      </c>
      <c r="B5" s="36" t="s">
        <v>84</v>
      </c>
      <c r="C5" s="36" t="s">
        <v>4</v>
      </c>
      <c r="D5" s="36" t="s">
        <v>85</v>
      </c>
      <c r="E5" s="36" t="s">
        <v>92</v>
      </c>
      <c r="F5" s="19" t="s">
        <v>7</v>
      </c>
      <c r="G5" s="19" t="s">
        <v>8</v>
      </c>
      <c r="H5" s="19" t="s">
        <v>9</v>
      </c>
      <c r="I5" s="19" t="s">
        <v>10</v>
      </c>
      <c r="J5" s="30" t="s">
        <v>11</v>
      </c>
      <c r="K5" s="9" t="s">
        <v>658</v>
      </c>
      <c r="L5" s="36" t="s">
        <v>659</v>
      </c>
      <c r="M5" s="36" t="s">
        <v>660</v>
      </c>
      <c r="N5" s="30" t="s">
        <v>86</v>
      </c>
      <c r="O5" s="19" t="s">
        <v>661</v>
      </c>
      <c r="P5" s="19" t="s">
        <v>662</v>
      </c>
      <c r="Q5" s="19" t="s">
        <v>663</v>
      </c>
      <c r="R5" s="19" t="s">
        <v>664</v>
      </c>
      <c r="S5" s="19" t="s">
        <v>665</v>
      </c>
      <c r="T5" s="19" t="s">
        <v>13</v>
      </c>
      <c r="U5" s="19" t="s">
        <v>14</v>
      </c>
      <c r="V5" s="19" t="s">
        <v>15</v>
      </c>
      <c r="W5" s="19" t="s">
        <v>225</v>
      </c>
      <c r="X5" s="19" t="s">
        <v>575</v>
      </c>
      <c r="Y5" s="19" t="s">
        <v>79</v>
      </c>
      <c r="Z5" s="19" t="s">
        <v>774</v>
      </c>
      <c r="AA5" s="19" t="s">
        <v>775</v>
      </c>
      <c r="AB5" s="19" t="s">
        <v>208</v>
      </c>
      <c r="AC5" s="19" t="s">
        <v>209</v>
      </c>
      <c r="AD5" s="19" t="s">
        <v>776</v>
      </c>
      <c r="AE5" s="19" t="s">
        <v>777</v>
      </c>
      <c r="AF5" s="19" t="s">
        <v>778</v>
      </c>
      <c r="AG5" s="19" t="s">
        <v>779</v>
      </c>
      <c r="AH5" s="481" t="s">
        <v>962</v>
      </c>
      <c r="AI5" s="19" t="s">
        <v>1046</v>
      </c>
      <c r="AJ5" s="19" t="s">
        <v>635</v>
      </c>
      <c r="AK5" s="19" t="s">
        <v>13</v>
      </c>
      <c r="AL5" s="19" t="s">
        <v>14</v>
      </c>
      <c r="AM5" s="19" t="s">
        <v>15</v>
      </c>
      <c r="AN5" s="19" t="s">
        <v>225</v>
      </c>
      <c r="AO5" s="19" t="s">
        <v>575</v>
      </c>
      <c r="AP5" s="19" t="s">
        <v>79</v>
      </c>
      <c r="AQ5" s="40"/>
      <c r="AR5" s="40"/>
      <c r="AS5" s="40"/>
      <c r="AT5" s="40"/>
    </row>
    <row r="6" spans="1:46" s="31" customFormat="1">
      <c r="A6" s="36"/>
      <c r="B6" s="36"/>
      <c r="C6" s="36"/>
      <c r="D6" s="36"/>
      <c r="E6" s="36"/>
      <c r="F6" s="19"/>
      <c r="G6" s="19"/>
      <c r="H6" s="19"/>
      <c r="I6" s="19"/>
      <c r="J6" s="30"/>
      <c r="K6" s="9"/>
      <c r="L6" s="36"/>
      <c r="M6" s="36"/>
      <c r="N6" s="30"/>
      <c r="O6" s="19"/>
      <c r="P6" s="19"/>
      <c r="Q6" s="19"/>
      <c r="R6" s="19"/>
      <c r="S6" s="36"/>
      <c r="T6" s="36"/>
      <c r="U6" s="36"/>
      <c r="V6" s="19"/>
      <c r="W6" s="19"/>
      <c r="X6" s="19"/>
      <c r="Y6" s="36"/>
      <c r="Z6" s="298"/>
      <c r="AA6" s="298"/>
      <c r="AB6" s="298"/>
      <c r="AC6" s="298"/>
      <c r="AD6" s="298"/>
      <c r="AE6" s="298"/>
      <c r="AF6" s="298"/>
      <c r="AG6" s="298"/>
      <c r="AH6" s="298"/>
      <c r="AI6" s="30"/>
      <c r="AJ6" s="30"/>
      <c r="AK6" s="30"/>
      <c r="AL6" s="30"/>
      <c r="AM6" s="30"/>
      <c r="AN6" s="30"/>
      <c r="AO6" s="30"/>
      <c r="AP6" s="30"/>
      <c r="AQ6" s="40"/>
      <c r="AR6" s="40"/>
      <c r="AS6" s="40"/>
      <c r="AT6" s="40"/>
    </row>
    <row r="7" spans="1:46" s="31" customFormat="1" ht="27" customHeight="1">
      <c r="A7" s="9" t="s">
        <v>338</v>
      </c>
      <c r="B7" s="10" t="e">
        <f>#REF!</f>
        <v>#REF!</v>
      </c>
      <c r="C7" s="10" t="e">
        <f>#REF!</f>
        <v>#REF!</v>
      </c>
      <c r="D7" s="10" t="e">
        <f>#REF!</f>
        <v>#REF!</v>
      </c>
      <c r="E7" s="10" t="e">
        <f>#REF!</f>
        <v>#REF!</v>
      </c>
      <c r="F7" s="10" t="e">
        <f>#REF!</f>
        <v>#REF!</v>
      </c>
      <c r="G7" s="10" t="e">
        <f>#REF!</f>
        <v>#REF!</v>
      </c>
      <c r="H7" s="10" t="e">
        <f>#REF!</f>
        <v>#REF!</v>
      </c>
      <c r="I7" s="10" t="e">
        <f>#REF!</f>
        <v>#REF!</v>
      </c>
      <c r="J7" s="10" t="e">
        <f>#REF!</f>
        <v>#REF!</v>
      </c>
      <c r="K7" s="10" t="e">
        <f>#REF!</f>
        <v>#REF!</v>
      </c>
      <c r="L7" s="10" t="e">
        <f>#REF!</f>
        <v>#REF!</v>
      </c>
      <c r="M7" s="10" t="e">
        <f>#REF!</f>
        <v>#REF!</v>
      </c>
      <c r="N7" s="10" t="e">
        <f>#REF!</f>
        <v>#REF!</v>
      </c>
      <c r="O7" s="10" t="e">
        <f>#REF!</f>
        <v>#REF!</v>
      </c>
      <c r="P7" s="10" t="e">
        <f>#REF!</f>
        <v>#REF!</v>
      </c>
      <c r="Q7" s="10" t="e">
        <f>#REF!</f>
        <v>#REF!</v>
      </c>
      <c r="R7" s="10">
        <v>19570000</v>
      </c>
      <c r="S7" s="10">
        <v>9580000</v>
      </c>
      <c r="T7" s="10">
        <v>8005774</v>
      </c>
      <c r="U7" s="10">
        <v>0</v>
      </c>
      <c r="V7" s="10">
        <v>0</v>
      </c>
      <c r="W7" s="10">
        <v>0</v>
      </c>
      <c r="X7" s="10">
        <v>0</v>
      </c>
      <c r="Y7" s="10">
        <v>1574226</v>
      </c>
      <c r="Z7" s="38">
        <v>500000</v>
      </c>
      <c r="AA7" s="38">
        <v>0</v>
      </c>
      <c r="AB7" s="38">
        <v>0</v>
      </c>
      <c r="AC7" s="38">
        <v>-3500000</v>
      </c>
      <c r="AD7" s="38">
        <v>1250000</v>
      </c>
      <c r="AE7" s="38">
        <v>300000</v>
      </c>
      <c r="AF7" s="38">
        <v>630502</v>
      </c>
      <c r="AG7" s="38">
        <v>-1440000</v>
      </c>
      <c r="AH7" s="38">
        <v>810000</v>
      </c>
      <c r="AI7" s="38">
        <v>-1449498</v>
      </c>
      <c r="AJ7" s="38">
        <v>11029498</v>
      </c>
      <c r="AK7" s="38">
        <v>-1023724</v>
      </c>
      <c r="AL7" s="38">
        <v>0</v>
      </c>
      <c r="AM7" s="38">
        <v>0</v>
      </c>
      <c r="AN7" s="38">
        <v>0</v>
      </c>
      <c r="AO7" s="38">
        <v>0</v>
      </c>
      <c r="AP7" s="38">
        <v>-425774</v>
      </c>
      <c r="AQ7" s="40"/>
      <c r="AR7" s="40"/>
      <c r="AS7" s="40"/>
      <c r="AT7" s="40"/>
    </row>
    <row r="8" spans="1:46" s="40" customFormat="1" ht="27" customHeight="1">
      <c r="A8" s="9" t="s">
        <v>180</v>
      </c>
      <c r="B8" s="38" t="e">
        <f>#REF!</f>
        <v>#REF!</v>
      </c>
      <c r="C8" s="38" t="e">
        <f>#REF!</f>
        <v>#REF!</v>
      </c>
      <c r="D8" s="38" t="e">
        <f>#REF!</f>
        <v>#REF!</v>
      </c>
      <c r="E8" s="38" t="e">
        <f>#REF!</f>
        <v>#REF!</v>
      </c>
      <c r="F8" s="38" t="e">
        <f>#REF!</f>
        <v>#REF!</v>
      </c>
      <c r="G8" s="38" t="e">
        <f>#REF!</f>
        <v>#REF!</v>
      </c>
      <c r="H8" s="38" t="e">
        <f>#REF!</f>
        <v>#REF!</v>
      </c>
      <c r="I8" s="38" t="e">
        <f>#REF!</f>
        <v>#REF!</v>
      </c>
      <c r="J8" s="38" t="e">
        <f>#REF!</f>
        <v>#REF!</v>
      </c>
      <c r="K8" s="38" t="e">
        <f>#REF!</f>
        <v>#REF!</v>
      </c>
      <c r="L8" s="38" t="e">
        <f>#REF!</f>
        <v>#REF!</v>
      </c>
      <c r="M8" s="38" t="e">
        <f>#REF!</f>
        <v>#REF!</v>
      </c>
      <c r="N8" s="38" t="e">
        <f>#REF!</f>
        <v>#REF!</v>
      </c>
      <c r="O8" s="38" t="e">
        <f>#REF!</f>
        <v>#REF!</v>
      </c>
      <c r="P8" s="38" t="e">
        <f>#REF!</f>
        <v>#REF!</v>
      </c>
      <c r="Q8" s="38" t="e">
        <f>#REF!</f>
        <v>#REF!</v>
      </c>
      <c r="R8" s="38">
        <v>7764336</v>
      </c>
      <c r="S8" s="38">
        <v>347501469</v>
      </c>
      <c r="T8" s="38">
        <v>184998584</v>
      </c>
      <c r="U8" s="38">
        <v>1500000</v>
      </c>
      <c r="V8" s="38">
        <v>0</v>
      </c>
      <c r="W8" s="38">
        <v>9000000</v>
      </c>
      <c r="X8" s="38">
        <v>7100000</v>
      </c>
      <c r="Y8" s="38">
        <v>144902885</v>
      </c>
      <c r="Z8" s="38">
        <v>0</v>
      </c>
      <c r="AA8" s="38">
        <v>20000000</v>
      </c>
      <c r="AB8" s="38">
        <v>22750482</v>
      </c>
      <c r="AC8" s="38">
        <v>2485664</v>
      </c>
      <c r="AD8" s="38">
        <v>40984608</v>
      </c>
      <c r="AE8" s="38">
        <v>22637026</v>
      </c>
      <c r="AF8" s="38">
        <v>17387327</v>
      </c>
      <c r="AG8" s="38">
        <v>11899287</v>
      </c>
      <c r="AH8" s="38">
        <v>83905023</v>
      </c>
      <c r="AI8" s="38">
        <v>222049417</v>
      </c>
      <c r="AJ8" s="38">
        <v>125452052</v>
      </c>
      <c r="AK8" s="38">
        <v>158235217</v>
      </c>
      <c r="AL8" s="38">
        <v>0</v>
      </c>
      <c r="AM8" s="38">
        <v>0</v>
      </c>
      <c r="AN8" s="38">
        <v>9000000</v>
      </c>
      <c r="AO8" s="38">
        <v>7100000</v>
      </c>
      <c r="AP8" s="38">
        <v>47714200</v>
      </c>
    </row>
    <row r="9" spans="1:46" s="40" customFormat="1" ht="27" customHeight="1">
      <c r="A9" s="9" t="s">
        <v>700</v>
      </c>
      <c r="B9" s="38" t="e">
        <f>#REF!</f>
        <v>#REF!</v>
      </c>
      <c r="C9" s="38" t="e">
        <f>#REF!</f>
        <v>#REF!</v>
      </c>
      <c r="D9" s="38" t="e">
        <f>#REF!</f>
        <v>#REF!</v>
      </c>
      <c r="E9" s="38" t="e">
        <f>#REF!</f>
        <v>#REF!</v>
      </c>
      <c r="F9" s="38" t="e">
        <f>#REF!</f>
        <v>#REF!</v>
      </c>
      <c r="G9" s="38" t="e">
        <f>#REF!</f>
        <v>#REF!</v>
      </c>
      <c r="H9" s="38" t="e">
        <f>#REF!</f>
        <v>#REF!</v>
      </c>
      <c r="I9" s="38" t="e">
        <f>#REF!</f>
        <v>#REF!</v>
      </c>
      <c r="J9" s="38" t="e">
        <f>#REF!</f>
        <v>#REF!</v>
      </c>
      <c r="K9" s="38" t="e">
        <f>#REF!</f>
        <v>#REF!</v>
      </c>
      <c r="L9" s="38" t="e">
        <f>#REF!</f>
        <v>#REF!</v>
      </c>
      <c r="M9" s="38" t="e">
        <f>#REF!</f>
        <v>#REF!</v>
      </c>
      <c r="N9" s="38" t="e">
        <f>#REF!</f>
        <v>#REF!</v>
      </c>
      <c r="O9" s="38" t="e">
        <f>#REF!</f>
        <v>#REF!</v>
      </c>
      <c r="P9" s="38" t="e">
        <f>#REF!</f>
        <v>#REF!</v>
      </c>
      <c r="Q9" s="38" t="e">
        <f>#REF!</f>
        <v>#REF!</v>
      </c>
      <c r="R9" s="38">
        <v>108034</v>
      </c>
      <c r="S9" s="38">
        <v>84296766</v>
      </c>
      <c r="T9" s="38">
        <v>22084574</v>
      </c>
      <c r="U9" s="38">
        <v>44644649</v>
      </c>
      <c r="V9" s="38">
        <v>0</v>
      </c>
      <c r="W9" s="38">
        <v>0</v>
      </c>
      <c r="X9" s="38">
        <v>0</v>
      </c>
      <c r="Y9" s="38">
        <v>17567543</v>
      </c>
      <c r="Z9" s="38">
        <v>4600000</v>
      </c>
      <c r="AA9" s="38">
        <v>12947800</v>
      </c>
      <c r="AB9" s="38">
        <v>4670000</v>
      </c>
      <c r="AC9" s="38">
        <v>7140000</v>
      </c>
      <c r="AD9" s="38">
        <v>7970000</v>
      </c>
      <c r="AE9" s="38">
        <v>10425000</v>
      </c>
      <c r="AF9" s="38">
        <v>5970000</v>
      </c>
      <c r="AG9" s="38">
        <v>5560000</v>
      </c>
      <c r="AH9" s="38">
        <v>10341966</v>
      </c>
      <c r="AI9" s="38">
        <v>69624766</v>
      </c>
      <c r="AJ9" s="38">
        <v>14672000</v>
      </c>
      <c r="AK9" s="38">
        <v>18244574</v>
      </c>
      <c r="AL9" s="38">
        <v>39782264</v>
      </c>
      <c r="AM9" s="38">
        <v>0</v>
      </c>
      <c r="AN9" s="38">
        <v>0</v>
      </c>
      <c r="AO9" s="38">
        <v>0</v>
      </c>
      <c r="AP9" s="38">
        <v>11597928</v>
      </c>
    </row>
    <row r="10" spans="1:46" s="40" customFormat="1" ht="27" customHeight="1">
      <c r="A10" s="221" t="s">
        <v>140</v>
      </c>
      <c r="B10" s="38" t="e">
        <f>#REF!</f>
        <v>#REF!</v>
      </c>
      <c r="C10" s="38" t="e">
        <f>#REF!</f>
        <v>#REF!</v>
      </c>
      <c r="D10" s="38" t="e">
        <f>#REF!</f>
        <v>#REF!</v>
      </c>
      <c r="E10" s="38" t="e">
        <f>#REF!</f>
        <v>#REF!</v>
      </c>
      <c r="F10" s="38" t="e">
        <f>#REF!</f>
        <v>#REF!</v>
      </c>
      <c r="G10" s="38" t="e">
        <f>#REF!</f>
        <v>#REF!</v>
      </c>
      <c r="H10" s="38" t="e">
        <f>#REF!</f>
        <v>#REF!</v>
      </c>
      <c r="I10" s="38" t="e">
        <f>#REF!</f>
        <v>#REF!</v>
      </c>
      <c r="J10" s="38" t="e">
        <f>#REF!</f>
        <v>#REF!</v>
      </c>
      <c r="K10" s="38" t="e">
        <f>#REF!</f>
        <v>#REF!</v>
      </c>
      <c r="L10" s="38" t="e">
        <f>#REF!</f>
        <v>#REF!</v>
      </c>
      <c r="M10" s="38" t="e">
        <f>#REF!</f>
        <v>#REF!</v>
      </c>
      <c r="N10" s="38" t="e">
        <f>#REF!</f>
        <v>#REF!</v>
      </c>
      <c r="O10" s="38" t="e">
        <f>#REF!</f>
        <v>#REF!</v>
      </c>
      <c r="P10" s="38" t="e">
        <f>#REF!</f>
        <v>#REF!</v>
      </c>
      <c r="Q10" s="38" t="e">
        <f>#REF!</f>
        <v>#REF!</v>
      </c>
      <c r="R10" s="38">
        <v>270000</v>
      </c>
      <c r="S10" s="38">
        <v>6216000</v>
      </c>
      <c r="T10" s="38">
        <v>0</v>
      </c>
      <c r="U10" s="38">
        <v>4590100</v>
      </c>
      <c r="V10" s="38">
        <v>0</v>
      </c>
      <c r="W10" s="38">
        <v>0</v>
      </c>
      <c r="X10" s="38">
        <v>0</v>
      </c>
      <c r="Y10" s="38">
        <v>1625900</v>
      </c>
      <c r="Z10" s="38">
        <v>0</v>
      </c>
      <c r="AA10" s="38">
        <v>0</v>
      </c>
      <c r="AB10" s="38">
        <v>0</v>
      </c>
      <c r="AC10" s="38">
        <v>700000</v>
      </c>
      <c r="AD10" s="38">
        <v>-200000</v>
      </c>
      <c r="AE10" s="38">
        <v>326000</v>
      </c>
      <c r="AF10" s="38">
        <v>1360000</v>
      </c>
      <c r="AG10" s="38">
        <v>700000</v>
      </c>
      <c r="AH10" s="38">
        <v>210000</v>
      </c>
      <c r="AI10" s="38">
        <v>3096000</v>
      </c>
      <c r="AJ10" s="38">
        <v>3120000</v>
      </c>
      <c r="AK10" s="38">
        <v>0</v>
      </c>
      <c r="AL10" s="38">
        <v>2430100</v>
      </c>
      <c r="AM10" s="38">
        <v>0</v>
      </c>
      <c r="AN10" s="38">
        <v>0</v>
      </c>
      <c r="AO10" s="38">
        <v>0</v>
      </c>
      <c r="AP10" s="38">
        <v>665900</v>
      </c>
    </row>
    <row r="11" spans="1:46" s="40" customFormat="1" ht="27" customHeight="1">
      <c r="A11" s="221" t="s">
        <v>314</v>
      </c>
      <c r="B11" s="38" t="e">
        <f>#REF!</f>
        <v>#REF!</v>
      </c>
      <c r="C11" s="38" t="e">
        <f>#REF!</f>
        <v>#REF!</v>
      </c>
      <c r="D11" s="38" t="e">
        <f>#REF!</f>
        <v>#REF!</v>
      </c>
      <c r="E11" s="38" t="e">
        <f>#REF!</f>
        <v>#REF!</v>
      </c>
      <c r="F11" s="38" t="e">
        <f>#REF!</f>
        <v>#REF!</v>
      </c>
      <c r="G11" s="38" t="e">
        <f>#REF!</f>
        <v>#REF!</v>
      </c>
      <c r="H11" s="38" t="e">
        <f>#REF!</f>
        <v>#REF!</v>
      </c>
      <c r="I11" s="38" t="e">
        <f>#REF!</f>
        <v>#REF!</v>
      </c>
      <c r="J11" s="38" t="e">
        <f>#REF!</f>
        <v>#REF!</v>
      </c>
      <c r="K11" s="38" t="e">
        <f>#REF!</f>
        <v>#REF!</v>
      </c>
      <c r="L11" s="38" t="e">
        <f>#REF!</f>
        <v>#REF!</v>
      </c>
      <c r="M11" s="38" t="e">
        <f>#REF!</f>
        <v>#REF!</v>
      </c>
      <c r="N11" s="38" t="e">
        <f>#REF!</f>
        <v>#REF!</v>
      </c>
      <c r="O11" s="38" t="e">
        <f>#REF!</f>
        <v>#REF!</v>
      </c>
      <c r="P11" s="38" t="e">
        <f>#REF!</f>
        <v>#REF!</v>
      </c>
      <c r="Q11" s="38" t="e">
        <f>#REF!</f>
        <v>#REF!</v>
      </c>
      <c r="R11" s="38">
        <v>0</v>
      </c>
      <c r="S11" s="38">
        <v>2970000</v>
      </c>
      <c r="T11" s="38">
        <v>210000</v>
      </c>
      <c r="U11" s="38">
        <v>2760000</v>
      </c>
      <c r="V11" s="38">
        <v>0</v>
      </c>
      <c r="W11" s="38">
        <v>0</v>
      </c>
      <c r="X11" s="38">
        <v>0</v>
      </c>
      <c r="Y11" s="38">
        <v>0</v>
      </c>
      <c r="Z11" s="38">
        <v>279000</v>
      </c>
      <c r="AA11" s="38">
        <v>735000</v>
      </c>
      <c r="AB11" s="38">
        <v>415000</v>
      </c>
      <c r="AC11" s="38">
        <v>0</v>
      </c>
      <c r="AD11" s="38">
        <v>0</v>
      </c>
      <c r="AE11" s="38">
        <v>200000</v>
      </c>
      <c r="AF11" s="38">
        <v>301000</v>
      </c>
      <c r="AG11" s="38">
        <v>210000</v>
      </c>
      <c r="AH11" s="38">
        <v>700000</v>
      </c>
      <c r="AI11" s="38">
        <v>2840000</v>
      </c>
      <c r="AJ11" s="38">
        <v>130000</v>
      </c>
      <c r="AK11" s="38">
        <v>210000</v>
      </c>
      <c r="AL11" s="38">
        <v>2630000</v>
      </c>
      <c r="AM11" s="38">
        <v>0</v>
      </c>
      <c r="AN11" s="38">
        <v>0</v>
      </c>
      <c r="AO11" s="38">
        <v>0</v>
      </c>
      <c r="AP11" s="38">
        <v>0</v>
      </c>
    </row>
    <row r="12" spans="1:46" s="40" customFormat="1" ht="27" customHeight="1">
      <c r="A12" s="9" t="s">
        <v>87</v>
      </c>
      <c r="B12" s="38" t="e">
        <f>#REF!</f>
        <v>#REF!</v>
      </c>
      <c r="C12" s="38" t="e">
        <f>#REF!</f>
        <v>#REF!</v>
      </c>
      <c r="D12" s="38" t="e">
        <f>#REF!</f>
        <v>#REF!</v>
      </c>
      <c r="E12" s="38" t="e">
        <f>#REF!</f>
        <v>#REF!</v>
      </c>
      <c r="F12" s="38" t="e">
        <f>#REF!</f>
        <v>#REF!</v>
      </c>
      <c r="G12" s="38" t="e">
        <f>#REF!</f>
        <v>#REF!</v>
      </c>
      <c r="H12" s="38" t="e">
        <f>#REF!</f>
        <v>#REF!</v>
      </c>
      <c r="I12" s="38" t="e">
        <f>#REF!</f>
        <v>#REF!</v>
      </c>
      <c r="J12" s="38" t="e">
        <f>#REF!</f>
        <v>#REF!</v>
      </c>
      <c r="K12" s="38" t="e">
        <f>#REF!</f>
        <v>#REF!</v>
      </c>
      <c r="L12" s="38" t="e">
        <f>#REF!</f>
        <v>#REF!</v>
      </c>
      <c r="M12" s="38" t="e">
        <f>#REF!</f>
        <v>#REF!</v>
      </c>
      <c r="N12" s="38" t="e">
        <f>#REF!</f>
        <v>#REF!</v>
      </c>
      <c r="O12" s="38" t="e">
        <f>#REF!</f>
        <v>#REF!</v>
      </c>
      <c r="P12" s="38" t="e">
        <f>#REF!</f>
        <v>#REF!</v>
      </c>
      <c r="Q12" s="38" t="e">
        <f>#REF!</f>
        <v>#REF!</v>
      </c>
      <c r="R12" s="38">
        <v>590000</v>
      </c>
      <c r="S12" s="38">
        <v>410000</v>
      </c>
      <c r="T12" s="38">
        <v>181067.75</v>
      </c>
      <c r="U12" s="38">
        <v>0</v>
      </c>
      <c r="V12" s="38">
        <v>0</v>
      </c>
      <c r="W12" s="38">
        <v>0</v>
      </c>
      <c r="X12" s="38">
        <v>0</v>
      </c>
      <c r="Y12" s="38">
        <v>228932.25</v>
      </c>
      <c r="Z12" s="38">
        <v>500000</v>
      </c>
      <c r="AA12" s="38">
        <v>0</v>
      </c>
      <c r="AB12" s="38">
        <v>0</v>
      </c>
      <c r="AC12" s="38">
        <v>-590000</v>
      </c>
      <c r="AD12" s="38">
        <v>271068</v>
      </c>
      <c r="AE12" s="38">
        <v>0</v>
      </c>
      <c r="AF12" s="38">
        <v>0</v>
      </c>
      <c r="AG12" s="38">
        <v>0</v>
      </c>
      <c r="AH12" s="38">
        <v>0</v>
      </c>
      <c r="AI12" s="38">
        <v>181068</v>
      </c>
      <c r="AJ12" s="38">
        <v>228932</v>
      </c>
      <c r="AK12" s="38">
        <v>181068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</row>
    <row r="13" spans="1:46" s="40" customFormat="1" ht="27" customHeight="1">
      <c r="A13" s="9" t="s">
        <v>384</v>
      </c>
      <c r="B13" s="38" t="e">
        <f>#REF!</f>
        <v>#REF!</v>
      </c>
      <c r="C13" s="38" t="e">
        <f>#REF!</f>
        <v>#REF!</v>
      </c>
      <c r="D13" s="38" t="e">
        <f>#REF!</f>
        <v>#REF!</v>
      </c>
      <c r="E13" s="38" t="e">
        <f>#REF!</f>
        <v>#REF!</v>
      </c>
      <c r="F13" s="38" t="e">
        <f>#REF!</f>
        <v>#REF!</v>
      </c>
      <c r="G13" s="38" t="e">
        <f>#REF!</f>
        <v>#REF!</v>
      </c>
      <c r="H13" s="38" t="e">
        <f>#REF!</f>
        <v>#REF!</v>
      </c>
      <c r="I13" s="38" t="e">
        <f>#REF!</f>
        <v>#REF!</v>
      </c>
      <c r="J13" s="38" t="e">
        <f>#REF!</f>
        <v>#REF!</v>
      </c>
      <c r="K13" s="38" t="e">
        <f>#REF!</f>
        <v>#REF!</v>
      </c>
      <c r="L13" s="38" t="e">
        <f>#REF!</f>
        <v>#REF!</v>
      </c>
      <c r="M13" s="38" t="e">
        <f>#REF!</f>
        <v>#REF!</v>
      </c>
      <c r="N13" s="38" t="e">
        <f>#REF!</f>
        <v>#REF!</v>
      </c>
      <c r="O13" s="38" t="e">
        <f>#REF!</f>
        <v>#REF!</v>
      </c>
      <c r="P13" s="38" t="e">
        <f>#REF!</f>
        <v>#REF!</v>
      </c>
      <c r="Q13" s="38" t="e">
        <f>#REF!</f>
        <v>#REF!</v>
      </c>
      <c r="R13" s="38">
        <v>0</v>
      </c>
      <c r="S13" s="38">
        <v>14650000</v>
      </c>
      <c r="T13" s="38">
        <v>8900000</v>
      </c>
      <c r="U13" s="38">
        <v>3450000</v>
      </c>
      <c r="V13" s="38">
        <v>0</v>
      </c>
      <c r="W13" s="38">
        <v>0</v>
      </c>
      <c r="X13" s="38">
        <v>0</v>
      </c>
      <c r="Y13" s="38">
        <v>2300000</v>
      </c>
      <c r="Z13" s="38">
        <v>350000</v>
      </c>
      <c r="AA13" s="38">
        <v>100000</v>
      </c>
      <c r="AB13" s="38">
        <v>4530000</v>
      </c>
      <c r="AC13" s="38">
        <v>0</v>
      </c>
      <c r="AD13" s="38">
        <v>1650000</v>
      </c>
      <c r="AE13" s="38">
        <v>0</v>
      </c>
      <c r="AF13" s="38">
        <v>2300000</v>
      </c>
      <c r="AG13" s="38">
        <v>2270000</v>
      </c>
      <c r="AH13" s="38">
        <v>2450000</v>
      </c>
      <c r="AI13" s="38">
        <v>13650000</v>
      </c>
      <c r="AJ13" s="38">
        <v>1000000</v>
      </c>
      <c r="AK13" s="38">
        <v>8900000</v>
      </c>
      <c r="AL13" s="38">
        <v>2450000</v>
      </c>
      <c r="AM13" s="38">
        <v>0</v>
      </c>
      <c r="AN13" s="38">
        <v>0</v>
      </c>
      <c r="AO13" s="38">
        <v>0</v>
      </c>
      <c r="AP13" s="38">
        <v>2300000</v>
      </c>
    </row>
    <row r="14" spans="1:46" s="40" customFormat="1" ht="27" customHeight="1">
      <c r="A14" s="9" t="s">
        <v>383</v>
      </c>
      <c r="B14" s="38" t="e">
        <f>#REF!</f>
        <v>#REF!</v>
      </c>
      <c r="C14" s="38" t="e">
        <f>#REF!</f>
        <v>#REF!</v>
      </c>
      <c r="D14" s="38" t="e">
        <f>#REF!</f>
        <v>#REF!</v>
      </c>
      <c r="E14" s="38" t="e">
        <f>#REF!</f>
        <v>#REF!</v>
      </c>
      <c r="F14" s="38" t="e">
        <f>#REF!</f>
        <v>#REF!</v>
      </c>
      <c r="G14" s="38" t="e">
        <f>#REF!</f>
        <v>#REF!</v>
      </c>
      <c r="H14" s="38" t="e">
        <f>#REF!</f>
        <v>#REF!</v>
      </c>
      <c r="I14" s="38" t="e">
        <f>#REF!</f>
        <v>#REF!</v>
      </c>
      <c r="J14" s="38" t="e">
        <f>#REF!</f>
        <v>#REF!</v>
      </c>
      <c r="K14" s="38" t="e">
        <f>#REF!</f>
        <v>#REF!</v>
      </c>
      <c r="L14" s="38" t="e">
        <f>#REF!</f>
        <v>#REF!</v>
      </c>
      <c r="M14" s="38" t="e">
        <f>#REF!</f>
        <v>#REF!</v>
      </c>
      <c r="N14" s="38" t="e">
        <f>#REF!</f>
        <v>#REF!</v>
      </c>
      <c r="O14" s="38" t="e">
        <f>#REF!</f>
        <v>#REF!</v>
      </c>
      <c r="P14" s="38" t="e">
        <f>#REF!</f>
        <v>#REF!</v>
      </c>
      <c r="Q14" s="38" t="e">
        <f>#REF!</f>
        <v>#REF!</v>
      </c>
      <c r="R14" s="38">
        <v>15030000</v>
      </c>
      <c r="S14" s="38">
        <v>1090000</v>
      </c>
      <c r="T14" s="38">
        <v>1090000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150000</v>
      </c>
      <c r="AA14" s="38">
        <v>100000</v>
      </c>
      <c r="AB14" s="38">
        <v>0</v>
      </c>
      <c r="AC14" s="38">
        <v>-1400000</v>
      </c>
      <c r="AD14" s="38">
        <v>0</v>
      </c>
      <c r="AE14" s="38">
        <v>400000</v>
      </c>
      <c r="AF14" s="38">
        <v>350000</v>
      </c>
      <c r="AG14" s="38">
        <v>200000</v>
      </c>
      <c r="AH14" s="38">
        <v>990000</v>
      </c>
      <c r="AI14" s="38">
        <v>790000</v>
      </c>
      <c r="AJ14" s="38">
        <v>300000</v>
      </c>
      <c r="AK14" s="38">
        <v>790000</v>
      </c>
      <c r="AL14" s="38">
        <v>0</v>
      </c>
      <c r="AM14" s="38">
        <v>0</v>
      </c>
      <c r="AN14" s="38">
        <v>0</v>
      </c>
      <c r="AO14" s="38">
        <v>0</v>
      </c>
      <c r="AP14" s="38">
        <v>0</v>
      </c>
    </row>
    <row r="15" spans="1:46" s="40" customFormat="1" ht="27" customHeight="1">
      <c r="A15" s="221" t="s">
        <v>213</v>
      </c>
      <c r="B15" s="38" t="e">
        <f>#REF!</f>
        <v>#REF!</v>
      </c>
      <c r="C15" s="38" t="e">
        <f>#REF!</f>
        <v>#REF!</v>
      </c>
      <c r="D15" s="38" t="e">
        <f>#REF!</f>
        <v>#REF!</v>
      </c>
      <c r="E15" s="38" t="e">
        <f>#REF!</f>
        <v>#REF!</v>
      </c>
      <c r="F15" s="38" t="e">
        <f>#REF!</f>
        <v>#REF!</v>
      </c>
      <c r="G15" s="38" t="e">
        <f>#REF!</f>
        <v>#REF!</v>
      </c>
      <c r="H15" s="38" t="e">
        <f>#REF!</f>
        <v>#REF!</v>
      </c>
      <c r="I15" s="38" t="e">
        <f>#REF!</f>
        <v>#REF!</v>
      </c>
      <c r="J15" s="38" t="e">
        <f>#REF!</f>
        <v>#REF!</v>
      </c>
      <c r="K15" s="38" t="e">
        <f>#REF!</f>
        <v>#REF!</v>
      </c>
      <c r="L15" s="38" t="e">
        <f>#REF!</f>
        <v>#REF!</v>
      </c>
      <c r="M15" s="38" t="e">
        <f>#REF!</f>
        <v>#REF!</v>
      </c>
      <c r="N15" s="38" t="e">
        <f>#REF!</f>
        <v>#REF!</v>
      </c>
      <c r="O15" s="38" t="e">
        <f>#REF!</f>
        <v>#REF!</v>
      </c>
      <c r="P15" s="38" t="e">
        <f>#REF!</f>
        <v>#REF!</v>
      </c>
      <c r="Q15" s="38" t="e">
        <f>#REF!</f>
        <v>#REF!</v>
      </c>
      <c r="R15" s="38">
        <v>1044749</v>
      </c>
      <c r="S15" s="38">
        <v>8255251</v>
      </c>
      <c r="T15" s="38">
        <v>5200000</v>
      </c>
      <c r="U15" s="38">
        <v>3055251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100000</v>
      </c>
      <c r="AC15" s="38">
        <v>4910251</v>
      </c>
      <c r="AD15" s="38">
        <v>0</v>
      </c>
      <c r="AE15" s="38">
        <v>0</v>
      </c>
      <c r="AF15" s="38">
        <v>1000000</v>
      </c>
      <c r="AG15" s="38">
        <v>1200000</v>
      </c>
      <c r="AH15" s="38">
        <v>450000</v>
      </c>
      <c r="AI15" s="38">
        <v>7660251</v>
      </c>
      <c r="AJ15" s="38">
        <v>595000</v>
      </c>
      <c r="AK15" s="38">
        <v>4450000</v>
      </c>
      <c r="AL15" s="38">
        <v>3210251</v>
      </c>
      <c r="AM15" s="38">
        <v>0</v>
      </c>
      <c r="AN15" s="38">
        <v>0</v>
      </c>
      <c r="AO15" s="38">
        <v>0</v>
      </c>
      <c r="AP15" s="38">
        <v>0</v>
      </c>
    </row>
    <row r="16" spans="1:46" s="40" customFormat="1" ht="27" customHeight="1">
      <c r="A16" s="221" t="s">
        <v>176</v>
      </c>
      <c r="B16" s="38" t="e">
        <f t="shared" ref="B16:Q16" si="0">SUM(B7:B15)</f>
        <v>#REF!</v>
      </c>
      <c r="C16" s="38" t="e">
        <f t="shared" si="0"/>
        <v>#REF!</v>
      </c>
      <c r="D16" s="38" t="e">
        <f t="shared" si="0"/>
        <v>#REF!</v>
      </c>
      <c r="E16" s="38" t="e">
        <f t="shared" si="0"/>
        <v>#REF!</v>
      </c>
      <c r="F16" s="38" t="e">
        <f t="shared" si="0"/>
        <v>#REF!</v>
      </c>
      <c r="G16" s="38" t="e">
        <f t="shared" si="0"/>
        <v>#REF!</v>
      </c>
      <c r="H16" s="38" t="e">
        <f t="shared" si="0"/>
        <v>#REF!</v>
      </c>
      <c r="I16" s="38" t="e">
        <f t="shared" si="0"/>
        <v>#REF!</v>
      </c>
      <c r="J16" s="38" t="e">
        <f t="shared" si="0"/>
        <v>#REF!</v>
      </c>
      <c r="K16" s="38" t="e">
        <f t="shared" si="0"/>
        <v>#REF!</v>
      </c>
      <c r="L16" s="38" t="e">
        <f t="shared" si="0"/>
        <v>#REF!</v>
      </c>
      <c r="M16" s="38" t="e">
        <f t="shared" si="0"/>
        <v>#REF!</v>
      </c>
      <c r="N16" s="38" t="e">
        <f t="shared" si="0"/>
        <v>#REF!</v>
      </c>
      <c r="O16" s="38" t="e">
        <f t="shared" si="0"/>
        <v>#REF!</v>
      </c>
      <c r="P16" s="38" t="e">
        <f t="shared" si="0"/>
        <v>#REF!</v>
      </c>
      <c r="Q16" s="38" t="e">
        <f t="shared" si="0"/>
        <v>#REF!</v>
      </c>
      <c r="R16" s="392">
        <v>44377119</v>
      </c>
      <c r="S16" s="392">
        <v>474969486</v>
      </c>
      <c r="T16" s="392">
        <v>230669999.75</v>
      </c>
      <c r="U16" s="392">
        <v>60000000</v>
      </c>
      <c r="V16" s="392">
        <v>0</v>
      </c>
      <c r="W16" s="392">
        <v>9000000</v>
      </c>
      <c r="X16" s="392">
        <v>7100000</v>
      </c>
      <c r="Y16" s="392">
        <v>168199486.25</v>
      </c>
      <c r="Z16" s="392">
        <v>6379000</v>
      </c>
      <c r="AA16" s="392">
        <v>33882800</v>
      </c>
      <c r="AB16" s="392">
        <v>32465482</v>
      </c>
      <c r="AC16" s="392">
        <v>9745915</v>
      </c>
      <c r="AD16" s="392">
        <v>51925676</v>
      </c>
      <c r="AE16" s="392">
        <v>34288026</v>
      </c>
      <c r="AF16" s="392">
        <v>29298829</v>
      </c>
      <c r="AG16" s="392">
        <v>20599287</v>
      </c>
      <c r="AH16" s="392">
        <v>99856989</v>
      </c>
      <c r="AI16" s="392">
        <v>318442004</v>
      </c>
      <c r="AJ16" s="392">
        <v>156527482</v>
      </c>
      <c r="AK16" s="392">
        <v>189987135</v>
      </c>
      <c r="AL16" s="392">
        <v>50502615</v>
      </c>
      <c r="AM16" s="392">
        <v>0</v>
      </c>
      <c r="AN16" s="392">
        <v>9000000</v>
      </c>
      <c r="AO16" s="392">
        <v>7100000</v>
      </c>
      <c r="AP16" s="392">
        <v>61852254</v>
      </c>
    </row>
    <row r="17" spans="10:42">
      <c r="M17" s="55"/>
      <c r="O17" s="55"/>
      <c r="P17" s="55"/>
      <c r="Q17" s="55"/>
      <c r="R17" s="40"/>
      <c r="S17" s="53"/>
      <c r="T17" s="53"/>
      <c r="U17" s="53"/>
      <c r="V17" s="53"/>
      <c r="W17" s="53"/>
      <c r="X17" s="53"/>
      <c r="Y17" s="53"/>
      <c r="AP17" s="43"/>
    </row>
    <row r="18" spans="10:42">
      <c r="J18" s="56"/>
      <c r="S18" s="56"/>
    </row>
    <row r="19" spans="10:42">
      <c r="J19" s="56"/>
      <c r="S19" s="56"/>
      <c r="AJ19" s="354"/>
    </row>
    <row r="20" spans="10:42">
      <c r="K20" s="56"/>
      <c r="S20" s="56"/>
      <c r="AH20" s="39"/>
      <c r="AJ20" s="354"/>
    </row>
    <row r="21" spans="10:42">
      <c r="K21" s="56"/>
      <c r="S21" s="56"/>
      <c r="AJ21" s="354"/>
    </row>
    <row r="22" spans="10:42">
      <c r="K22" s="56"/>
      <c r="S22" s="56"/>
      <c r="AJ22" s="354"/>
    </row>
    <row r="23" spans="10:42">
      <c r="K23" s="42"/>
      <c r="S23" s="56"/>
      <c r="T23" s="42"/>
    </row>
    <row r="24" spans="10:42">
      <c r="K24" s="56"/>
      <c r="S24" s="56"/>
    </row>
    <row r="25" spans="10:42">
      <c r="K25" s="56"/>
      <c r="S25" s="56"/>
    </row>
    <row r="26" spans="10:42">
      <c r="K26" s="56"/>
      <c r="S26" s="56"/>
    </row>
    <row r="27" spans="10:42">
      <c r="K27" s="56"/>
      <c r="S27" s="56"/>
    </row>
    <row r="28" spans="10:42">
      <c r="K28" s="56"/>
      <c r="S28" s="56"/>
    </row>
    <row r="29" spans="10:42">
      <c r="K29" s="56"/>
      <c r="S29" s="56"/>
    </row>
    <row r="30" spans="10:42">
      <c r="K30" s="56"/>
      <c r="S30" s="56"/>
    </row>
    <row r="31" spans="10:42">
      <c r="K31" s="56"/>
      <c r="S31" s="56"/>
    </row>
    <row r="32" spans="10:42">
      <c r="K32" s="56"/>
      <c r="S32" s="56"/>
    </row>
    <row r="33" spans="11:19">
      <c r="K33" s="56"/>
      <c r="S33" s="56"/>
    </row>
    <row r="34" spans="11:19">
      <c r="S34" s="56"/>
    </row>
    <row r="35" spans="11:19">
      <c r="S35" s="56"/>
    </row>
  </sheetData>
  <sheetProtection formatCells="0" formatColumns="0" formatRows="0" insertColumns="0" insertRows="0" insertHyperlinks="0" deleteColumns="0" deleteRows="0" sort="0" autoFilter="0" pivotTables="0"/>
  <mergeCells count="6">
    <mergeCell ref="AK4:AP4"/>
    <mergeCell ref="B4:M4"/>
    <mergeCell ref="N4:O4"/>
    <mergeCell ref="R4:S4"/>
    <mergeCell ref="T4:Y4"/>
    <mergeCell ref="Z4:AI4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93"/>
  <sheetViews>
    <sheetView showZeros="0" rightToLeft="1" tabSelected="1" zoomScaleNormal="100" workbookViewId="0">
      <pane xSplit="4" ySplit="4" topLeftCell="E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3.8"/>
  <cols>
    <col min="1" max="2" width="5.77734375" style="11" customWidth="1"/>
    <col min="3" max="3" width="22.33203125" style="17" customWidth="1"/>
    <col min="4" max="5" width="11.109375" style="13" hidden="1" customWidth="1"/>
    <col min="6" max="6" width="10.109375" style="13" hidden="1" customWidth="1"/>
    <col min="7" max="8" width="11.109375" style="13" hidden="1" customWidth="1"/>
    <col min="9" max="11" width="10.6640625" style="13" hidden="1" customWidth="1"/>
    <col min="12" max="12" width="11.109375" style="13" hidden="1" customWidth="1"/>
    <col min="13" max="14" width="10.109375" style="13" hidden="1" customWidth="1"/>
    <col min="15" max="15" width="11.109375" style="13" hidden="1" customWidth="1"/>
    <col min="16" max="19" width="10.6640625" style="13" hidden="1" customWidth="1"/>
    <col min="20" max="20" width="10.77734375" style="13" customWidth="1"/>
    <col min="21" max="23" width="10.77734375" style="11" customWidth="1"/>
    <col min="24" max="26" width="10.6640625" style="11" hidden="1" customWidth="1"/>
    <col min="27" max="27" width="10.77734375" style="11" customWidth="1"/>
    <col min="28" max="28" width="30.44140625" style="17" hidden="1" customWidth="1"/>
    <col min="29" max="29" width="9.109375" style="11" hidden="1" customWidth="1"/>
    <col min="30" max="36" width="13.6640625" style="299" hidden="1" customWidth="1"/>
    <col min="37" max="37" width="10.88671875" style="299" hidden="1" customWidth="1"/>
    <col min="38" max="38" width="13.6640625" style="299" hidden="1" customWidth="1"/>
    <col min="39" max="42" width="10.77734375" style="299" customWidth="1"/>
    <col min="43" max="45" width="13.6640625" style="299" hidden="1" customWidth="1"/>
    <col min="46" max="46" width="10.77734375" style="299" customWidth="1"/>
    <col min="47" max="47" width="18.109375" style="299" hidden="1" customWidth="1"/>
    <col min="48" max="48" width="20.109375" style="299" hidden="1" customWidth="1"/>
    <col min="49" max="49" width="13.6640625" style="299" hidden="1" customWidth="1"/>
    <col min="50" max="51" width="17.44140625" style="299" hidden="1" customWidth="1"/>
    <col min="52" max="52" width="21.6640625" style="299" hidden="1" customWidth="1"/>
    <col min="53" max="53" width="17.44140625" style="299" customWidth="1"/>
    <col min="54" max="54" width="21.6640625" style="299" customWidth="1"/>
    <col min="55" max="55" width="9.6640625" style="299" customWidth="1"/>
    <col min="56" max="56" width="9.109375" style="299" customWidth="1"/>
    <col min="57" max="57" width="23" style="299" customWidth="1"/>
    <col min="58" max="58" width="12.109375" style="299" customWidth="1"/>
    <col min="59" max="59" width="9.109375" style="299" customWidth="1"/>
    <col min="60" max="60" width="9.109375" style="11" customWidth="1"/>
    <col min="61" max="16384" width="9.109375" style="11"/>
  </cols>
  <sheetData>
    <row r="1" spans="1:59" s="25" customFormat="1" ht="18">
      <c r="A1" s="24"/>
      <c r="B1" s="24"/>
      <c r="C1" s="58"/>
      <c r="J1" s="13"/>
      <c r="K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319"/>
      <c r="X1" s="319"/>
      <c r="Y1" s="319"/>
      <c r="Z1" s="319"/>
      <c r="AA1" s="319"/>
      <c r="AB1" s="31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</row>
    <row r="2" spans="1:59" ht="18">
      <c r="A2" s="58" t="s">
        <v>1447</v>
      </c>
      <c r="B2" s="24"/>
      <c r="C2" s="229"/>
      <c r="D2" s="25"/>
      <c r="E2" s="25"/>
      <c r="F2" s="25"/>
      <c r="K2" s="24"/>
      <c r="M2" s="317"/>
      <c r="N2" s="317"/>
      <c r="O2" s="317"/>
      <c r="P2" s="317"/>
      <c r="Q2" s="317"/>
      <c r="R2" s="317"/>
      <c r="S2" s="317"/>
      <c r="T2" s="317"/>
      <c r="U2" s="319"/>
      <c r="V2" s="319"/>
      <c r="W2" s="319"/>
      <c r="X2" s="319"/>
      <c r="Y2" s="319"/>
      <c r="Z2" s="319"/>
      <c r="AA2" s="319"/>
      <c r="AB2" s="11"/>
    </row>
    <row r="3" spans="1:59" ht="36" customHeight="1">
      <c r="D3" s="318"/>
      <c r="E3" s="12"/>
      <c r="F3" s="12"/>
      <c r="G3" s="480"/>
      <c r="H3" s="12"/>
      <c r="I3" s="12"/>
      <c r="J3" s="12"/>
      <c r="K3" s="12"/>
      <c r="L3" s="318"/>
      <c r="M3" s="342"/>
      <c r="N3" s="318"/>
      <c r="O3" s="318"/>
      <c r="P3" s="318"/>
      <c r="Q3" s="318"/>
      <c r="R3" s="318"/>
      <c r="S3" s="318"/>
      <c r="T3" s="622" t="s">
        <v>1426</v>
      </c>
      <c r="U3" s="622"/>
      <c r="V3" s="622" t="s">
        <v>83</v>
      </c>
      <c r="W3" s="622"/>
      <c r="X3" s="622"/>
      <c r="Y3" s="622"/>
      <c r="Z3" s="622"/>
      <c r="AA3" s="622"/>
      <c r="AD3" s="644" t="s">
        <v>207</v>
      </c>
      <c r="AE3" s="645"/>
      <c r="AF3" s="645"/>
      <c r="AG3" s="645"/>
      <c r="AH3" s="645"/>
      <c r="AI3" s="645"/>
      <c r="AJ3" s="645"/>
      <c r="AK3" s="645"/>
      <c r="AL3" s="645"/>
      <c r="AM3" s="645"/>
      <c r="AN3" s="646"/>
      <c r="AO3" s="647" t="s">
        <v>1174</v>
      </c>
      <c r="AP3" s="648"/>
      <c r="AQ3" s="648"/>
      <c r="AR3" s="648"/>
      <c r="AS3" s="648"/>
      <c r="AT3" s="649"/>
      <c r="AU3" s="622" t="s">
        <v>953</v>
      </c>
      <c r="AV3" s="622"/>
      <c r="AW3" s="622"/>
      <c r="AX3" s="622"/>
      <c r="AY3" s="622"/>
      <c r="AZ3" s="622"/>
    </row>
    <row r="4" spans="1:59" s="27" customFormat="1" ht="86.25" customHeight="1">
      <c r="A4" s="9" t="s">
        <v>0</v>
      </c>
      <c r="B4" s="9" t="s">
        <v>1</v>
      </c>
      <c r="C4" s="9" t="s">
        <v>2</v>
      </c>
      <c r="D4" s="9" t="s">
        <v>84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9</v>
      </c>
      <c r="J4" s="9" t="s">
        <v>132</v>
      </c>
      <c r="K4" s="9" t="s">
        <v>10</v>
      </c>
      <c r="L4" s="9" t="s">
        <v>11</v>
      </c>
      <c r="M4" s="9" t="s">
        <v>658</v>
      </c>
      <c r="N4" s="9" t="s">
        <v>659</v>
      </c>
      <c r="O4" s="9" t="s">
        <v>660</v>
      </c>
      <c r="P4" s="9" t="s">
        <v>12</v>
      </c>
      <c r="Q4" s="9" t="s">
        <v>661</v>
      </c>
      <c r="R4" s="9" t="s">
        <v>662</v>
      </c>
      <c r="S4" s="9" t="s">
        <v>663</v>
      </c>
      <c r="T4" s="9" t="s">
        <v>664</v>
      </c>
      <c r="U4" s="9" t="s">
        <v>665</v>
      </c>
      <c r="V4" s="9" t="s">
        <v>13</v>
      </c>
      <c r="W4" s="9" t="s">
        <v>14</v>
      </c>
      <c r="X4" s="9" t="s">
        <v>15</v>
      </c>
      <c r="Y4" s="9" t="s">
        <v>225</v>
      </c>
      <c r="Z4" s="9" t="s">
        <v>575</v>
      </c>
      <c r="AA4" s="9" t="s">
        <v>79</v>
      </c>
      <c r="AB4" s="15" t="s">
        <v>257</v>
      </c>
      <c r="AC4" s="9" t="s">
        <v>16</v>
      </c>
      <c r="AD4" s="481" t="s">
        <v>954</v>
      </c>
      <c r="AE4" s="481" t="s">
        <v>955</v>
      </c>
      <c r="AF4" s="481" t="s">
        <v>956</v>
      </c>
      <c r="AG4" s="481" t="s">
        <v>957</v>
      </c>
      <c r="AH4" s="481" t="s">
        <v>958</v>
      </c>
      <c r="AI4" s="481" t="s">
        <v>959</v>
      </c>
      <c r="AJ4" s="481" t="s">
        <v>960</v>
      </c>
      <c r="AK4" s="481" t="s">
        <v>961</v>
      </c>
      <c r="AL4" s="481" t="s">
        <v>962</v>
      </c>
      <c r="AM4" s="19" t="s">
        <v>1173</v>
      </c>
      <c r="AN4" s="19" t="s">
        <v>635</v>
      </c>
      <c r="AO4" s="167" t="s">
        <v>13</v>
      </c>
      <c r="AP4" s="167" t="s">
        <v>14</v>
      </c>
      <c r="AQ4" s="167" t="s">
        <v>15</v>
      </c>
      <c r="AR4" s="167" t="s">
        <v>225</v>
      </c>
      <c r="AS4" s="167" t="s">
        <v>575</v>
      </c>
      <c r="AT4" s="15" t="s">
        <v>79</v>
      </c>
      <c r="AU4" s="167" t="s">
        <v>13</v>
      </c>
      <c r="AV4" s="167" t="s">
        <v>14</v>
      </c>
      <c r="AW4" s="167" t="s">
        <v>15</v>
      </c>
      <c r="AX4" s="167" t="s">
        <v>225</v>
      </c>
      <c r="AY4" s="167" t="s">
        <v>575</v>
      </c>
      <c r="AZ4" s="15" t="s">
        <v>79</v>
      </c>
      <c r="BA4" s="299"/>
      <c r="BB4" s="299"/>
      <c r="BC4" s="299"/>
      <c r="BD4" s="299"/>
      <c r="BE4" s="299"/>
      <c r="BF4" s="299"/>
      <c r="BG4" s="299"/>
    </row>
    <row r="5" spans="1:59" s="5" customFormat="1" ht="31.95" customHeight="1">
      <c r="A5" s="3">
        <v>1</v>
      </c>
      <c r="B5" s="3">
        <v>179</v>
      </c>
      <c r="C5" s="3" t="s">
        <v>29</v>
      </c>
      <c r="D5" s="4">
        <f>3170250+30000</f>
        <v>3200250</v>
      </c>
      <c r="E5" s="4">
        <v>3170250</v>
      </c>
      <c r="F5" s="4">
        <f t="shared" ref="F5:F56" si="0">D5-E5</f>
        <v>30000</v>
      </c>
      <c r="G5" s="4">
        <v>3100250</v>
      </c>
      <c r="H5" s="4">
        <v>2934748</v>
      </c>
      <c r="I5" s="4">
        <v>0</v>
      </c>
      <c r="J5" s="4">
        <v>13909</v>
      </c>
      <c r="K5" s="4">
        <f t="shared" ref="K5:K60" si="1">SUM(I5:J5)</f>
        <v>13909</v>
      </c>
      <c r="L5" s="4">
        <f t="shared" ref="L5:L56" si="2">H5+K5</f>
        <v>2948657</v>
      </c>
      <c r="M5" s="4">
        <f>P5+S5-150000+50000</f>
        <v>51593</v>
      </c>
      <c r="N5" s="4">
        <v>200000</v>
      </c>
      <c r="O5" s="4">
        <f t="shared" ref="O5:O56" si="3">D5-L5-M5-N5</f>
        <v>0</v>
      </c>
      <c r="P5" s="4">
        <f t="shared" ref="P5:P68" si="4">G5-L5</f>
        <v>151593</v>
      </c>
      <c r="Q5" s="4"/>
      <c r="R5" s="4"/>
      <c r="S5" s="4">
        <f t="shared" ref="S5:S56" si="5">SUM(Q5:R5)</f>
        <v>0</v>
      </c>
      <c r="T5" s="4">
        <v>100000</v>
      </c>
      <c r="U5" s="4">
        <v>100000</v>
      </c>
      <c r="V5" s="4">
        <v>100000</v>
      </c>
      <c r="W5" s="4"/>
      <c r="X5" s="4"/>
      <c r="Y5" s="4"/>
      <c r="Z5" s="4"/>
      <c r="AA5" s="3"/>
      <c r="AB5" s="3" t="s">
        <v>685</v>
      </c>
      <c r="AC5" s="3">
        <v>732000</v>
      </c>
      <c r="AD5" s="335"/>
      <c r="AE5" s="335"/>
      <c r="AF5" s="335"/>
      <c r="AG5" s="335"/>
      <c r="AH5" s="335"/>
      <c r="AI5" s="335"/>
      <c r="AJ5" s="335"/>
      <c r="AK5" s="335"/>
      <c r="AL5" s="435">
        <v>50000</v>
      </c>
      <c r="AM5" s="154">
        <v>50000</v>
      </c>
      <c r="AN5" s="4">
        <v>50000</v>
      </c>
      <c r="AO5" s="4">
        <v>50000</v>
      </c>
      <c r="AP5" s="4"/>
      <c r="AQ5" s="4"/>
      <c r="AR5" s="4"/>
      <c r="AS5" s="4"/>
      <c r="AT5" s="4"/>
      <c r="AU5" s="4">
        <f>AL5-AZ5</f>
        <v>50000</v>
      </c>
      <c r="AV5" s="335"/>
      <c r="AW5" s="335"/>
      <c r="AX5" s="335"/>
      <c r="AY5" s="335"/>
      <c r="AZ5" s="335"/>
      <c r="BA5" s="299"/>
      <c r="BB5" s="299"/>
      <c r="BC5" s="299"/>
      <c r="BD5" s="299"/>
      <c r="BE5" s="299"/>
      <c r="BF5" s="299"/>
      <c r="BG5" s="299"/>
    </row>
    <row r="6" spans="1:59" s="5" customFormat="1" ht="31.95" customHeight="1">
      <c r="A6" s="3">
        <f>A5+1</f>
        <v>2</v>
      </c>
      <c r="B6" s="3">
        <v>507</v>
      </c>
      <c r="C6" s="3" t="s">
        <v>41</v>
      </c>
      <c r="D6" s="4">
        <f>1965000+200000+150000</f>
        <v>2315000</v>
      </c>
      <c r="E6" s="4">
        <v>1965000</v>
      </c>
      <c r="F6" s="4">
        <f t="shared" si="0"/>
        <v>350000</v>
      </c>
      <c r="G6" s="4">
        <v>1965000</v>
      </c>
      <c r="H6" s="4">
        <v>1653104</v>
      </c>
      <c r="I6" s="4">
        <v>0</v>
      </c>
      <c r="J6" s="4">
        <v>0</v>
      </c>
      <c r="K6" s="4">
        <f t="shared" si="1"/>
        <v>0</v>
      </c>
      <c r="L6" s="4">
        <f t="shared" si="2"/>
        <v>1653104</v>
      </c>
      <c r="M6" s="4">
        <f>P6+S6-300000+150000</f>
        <v>161896</v>
      </c>
      <c r="N6" s="4">
        <v>500000</v>
      </c>
      <c r="O6" s="4">
        <f t="shared" si="3"/>
        <v>0</v>
      </c>
      <c r="P6" s="4">
        <f t="shared" si="4"/>
        <v>311896</v>
      </c>
      <c r="Q6" s="4"/>
      <c r="R6" s="4"/>
      <c r="S6" s="4">
        <f t="shared" si="5"/>
        <v>0</v>
      </c>
      <c r="T6" s="4">
        <v>150000</v>
      </c>
      <c r="U6" s="4">
        <v>350000</v>
      </c>
      <c r="V6" s="4">
        <v>350000</v>
      </c>
      <c r="W6" s="4"/>
      <c r="X6" s="4"/>
      <c r="Y6" s="4"/>
      <c r="Z6" s="4"/>
      <c r="AA6" s="3"/>
      <c r="AB6" s="3" t="s">
        <v>413</v>
      </c>
      <c r="AC6" s="3">
        <v>742000</v>
      </c>
      <c r="AD6" s="335"/>
      <c r="AE6" s="335"/>
      <c r="AF6" s="335"/>
      <c r="AG6" s="335"/>
      <c r="AH6" s="335"/>
      <c r="AI6" s="335"/>
      <c r="AJ6" s="335"/>
      <c r="AK6" s="335"/>
      <c r="AL6" s="335"/>
      <c r="AM6" s="154">
        <v>0</v>
      </c>
      <c r="AN6" s="4">
        <v>350000</v>
      </c>
      <c r="AO6" s="4">
        <v>0</v>
      </c>
      <c r="AP6" s="335"/>
      <c r="AQ6" s="335"/>
      <c r="AR6" s="335"/>
      <c r="AS6" s="335"/>
      <c r="AT6" s="335"/>
      <c r="AU6" s="4">
        <f t="shared" ref="AU6:AU69" si="6">AL6-AZ6</f>
        <v>0</v>
      </c>
      <c r="AV6" s="335"/>
      <c r="AW6" s="335"/>
      <c r="AX6" s="335"/>
      <c r="AY6" s="335"/>
      <c r="AZ6" s="335"/>
      <c r="BA6" s="299"/>
      <c r="BB6" s="299"/>
      <c r="BC6" s="299"/>
      <c r="BD6" s="299"/>
      <c r="BE6" s="299"/>
      <c r="BF6" s="299"/>
      <c r="BG6" s="299"/>
    </row>
    <row r="7" spans="1:59" s="5" customFormat="1" ht="31.95" customHeight="1">
      <c r="A7" s="3">
        <f t="shared" ref="A7:A70" si="7">A6+1</f>
        <v>3</v>
      </c>
      <c r="B7" s="3">
        <v>546</v>
      </c>
      <c r="C7" s="3" t="s">
        <v>964</v>
      </c>
      <c r="D7" s="4">
        <v>2920000</v>
      </c>
      <c r="E7" s="4">
        <v>2920000</v>
      </c>
      <c r="F7" s="4">
        <f t="shared" si="0"/>
        <v>0</v>
      </c>
      <c r="G7" s="4">
        <v>2920000</v>
      </c>
      <c r="H7" s="4">
        <v>2895703</v>
      </c>
      <c r="I7" s="4">
        <v>0</v>
      </c>
      <c r="J7" s="4">
        <v>18053</v>
      </c>
      <c r="K7" s="4">
        <f t="shared" si="1"/>
        <v>18053</v>
      </c>
      <c r="L7" s="4">
        <f t="shared" si="2"/>
        <v>2913756</v>
      </c>
      <c r="M7" s="4">
        <f>P7+S7</f>
        <v>6244</v>
      </c>
      <c r="N7" s="4"/>
      <c r="O7" s="4">
        <f t="shared" si="3"/>
        <v>0</v>
      </c>
      <c r="P7" s="4">
        <f t="shared" si="4"/>
        <v>6244</v>
      </c>
      <c r="Q7" s="4"/>
      <c r="R7" s="4"/>
      <c r="S7" s="4">
        <f t="shared" si="5"/>
        <v>0</v>
      </c>
      <c r="T7" s="4">
        <v>0</v>
      </c>
      <c r="U7" s="4">
        <v>0</v>
      </c>
      <c r="V7" s="4">
        <v>0</v>
      </c>
      <c r="W7" s="4"/>
      <c r="X7" s="4"/>
      <c r="Y7" s="4"/>
      <c r="Z7" s="4"/>
      <c r="AA7" s="3"/>
      <c r="AB7" s="3" t="s">
        <v>519</v>
      </c>
      <c r="AC7" s="3">
        <v>742000</v>
      </c>
      <c r="AD7" s="335"/>
      <c r="AE7" s="335"/>
      <c r="AF7" s="335"/>
      <c r="AG7" s="335"/>
      <c r="AH7" s="154"/>
      <c r="AI7" s="154"/>
      <c r="AJ7" s="154"/>
      <c r="AK7" s="154"/>
      <c r="AL7" s="154"/>
      <c r="AM7" s="154">
        <v>0</v>
      </c>
      <c r="AN7" s="4">
        <v>0</v>
      </c>
      <c r="AO7" s="4">
        <v>0</v>
      </c>
      <c r="AP7" s="335"/>
      <c r="AQ7" s="335"/>
      <c r="AR7" s="335"/>
      <c r="AS7" s="335"/>
      <c r="AT7" s="335"/>
      <c r="AU7" s="4">
        <f t="shared" si="6"/>
        <v>0</v>
      </c>
      <c r="AV7" s="335"/>
      <c r="AW7" s="335"/>
      <c r="AX7" s="335"/>
      <c r="AY7" s="335"/>
      <c r="AZ7" s="335"/>
      <c r="BA7" s="299"/>
      <c r="BB7" s="299"/>
      <c r="BC7" s="299"/>
      <c r="BD7" s="299"/>
      <c r="BE7" s="299"/>
      <c r="BF7" s="299"/>
      <c r="BG7" s="299"/>
    </row>
    <row r="8" spans="1:59" s="5" customFormat="1" ht="31.95" customHeight="1">
      <c r="A8" s="3">
        <f t="shared" si="7"/>
        <v>4</v>
      </c>
      <c r="B8" s="3">
        <v>592</v>
      </c>
      <c r="C8" s="3" t="s">
        <v>23</v>
      </c>
      <c r="D8" s="4">
        <v>54893000</v>
      </c>
      <c r="E8" s="4">
        <v>54893000</v>
      </c>
      <c r="F8" s="4">
        <f t="shared" si="0"/>
        <v>0</v>
      </c>
      <c r="G8" s="4">
        <v>21420000</v>
      </c>
      <c r="H8" s="4">
        <v>19882849</v>
      </c>
      <c r="I8" s="4">
        <v>149112</v>
      </c>
      <c r="J8" s="4">
        <v>278238</v>
      </c>
      <c r="K8" s="4">
        <f t="shared" si="1"/>
        <v>427350</v>
      </c>
      <c r="L8" s="4">
        <f t="shared" si="2"/>
        <v>20310199</v>
      </c>
      <c r="M8" s="4">
        <f>P8+S8-1100000+300000</f>
        <v>309801</v>
      </c>
      <c r="N8" s="4">
        <v>1100000</v>
      </c>
      <c r="O8" s="4">
        <f t="shared" si="3"/>
        <v>33173000</v>
      </c>
      <c r="P8" s="4">
        <f t="shared" si="4"/>
        <v>1109801</v>
      </c>
      <c r="Q8" s="4"/>
      <c r="R8" s="4"/>
      <c r="S8" s="4">
        <f t="shared" si="5"/>
        <v>0</v>
      </c>
      <c r="T8" s="4">
        <v>800000</v>
      </c>
      <c r="U8" s="4">
        <v>300000</v>
      </c>
      <c r="V8" s="4">
        <v>300000</v>
      </c>
      <c r="W8" s="4"/>
      <c r="X8" s="4"/>
      <c r="Y8" s="4"/>
      <c r="Z8" s="4"/>
      <c r="AA8" s="3"/>
      <c r="AB8" s="3" t="s">
        <v>1485</v>
      </c>
      <c r="AC8" s="3">
        <v>742000</v>
      </c>
      <c r="AD8" s="335"/>
      <c r="AE8" s="335"/>
      <c r="AF8" s="335"/>
      <c r="AG8" s="335"/>
      <c r="AH8" s="154"/>
      <c r="AI8" s="154"/>
      <c r="AJ8" s="154"/>
      <c r="AK8" s="154"/>
      <c r="AL8" s="154"/>
      <c r="AM8" s="154">
        <v>0</v>
      </c>
      <c r="AN8" s="4">
        <v>300000</v>
      </c>
      <c r="AO8" s="4">
        <v>0</v>
      </c>
      <c r="AP8" s="335"/>
      <c r="AQ8" s="335"/>
      <c r="AR8" s="335"/>
      <c r="AS8" s="335"/>
      <c r="AT8" s="335"/>
      <c r="AU8" s="4">
        <f t="shared" si="6"/>
        <v>0</v>
      </c>
      <c r="AV8" s="335"/>
      <c r="AW8" s="335"/>
      <c r="AX8" s="335"/>
      <c r="AY8" s="335"/>
      <c r="AZ8" s="335"/>
      <c r="BA8" s="299"/>
      <c r="BB8" s="299"/>
      <c r="BC8" s="299"/>
      <c r="BD8" s="299"/>
      <c r="BE8" s="299"/>
      <c r="BF8" s="299"/>
      <c r="BG8" s="299"/>
    </row>
    <row r="9" spans="1:59" s="5" customFormat="1" ht="31.95" customHeight="1">
      <c r="A9" s="3">
        <f t="shared" si="7"/>
        <v>5</v>
      </c>
      <c r="B9" s="3">
        <v>608</v>
      </c>
      <c r="C9" s="3" t="s">
        <v>30</v>
      </c>
      <c r="D9" s="4">
        <v>8300000</v>
      </c>
      <c r="E9" s="4">
        <v>8300000</v>
      </c>
      <c r="F9" s="4">
        <f t="shared" si="0"/>
        <v>0</v>
      </c>
      <c r="G9" s="4">
        <v>6200000</v>
      </c>
      <c r="H9" s="4">
        <v>5803860</v>
      </c>
      <c r="I9" s="4">
        <v>0</v>
      </c>
      <c r="J9" s="4">
        <v>36837</v>
      </c>
      <c r="K9" s="4">
        <f t="shared" si="1"/>
        <v>36837</v>
      </c>
      <c r="L9" s="4">
        <f t="shared" si="2"/>
        <v>5840697</v>
      </c>
      <c r="M9" s="4">
        <f>P9+S9-250000+250000</f>
        <v>359303</v>
      </c>
      <c r="N9" s="4">
        <v>1000000</v>
      </c>
      <c r="O9" s="4">
        <f t="shared" si="3"/>
        <v>1100000</v>
      </c>
      <c r="P9" s="4">
        <f t="shared" si="4"/>
        <v>359303</v>
      </c>
      <c r="Q9" s="4"/>
      <c r="R9" s="4"/>
      <c r="S9" s="4">
        <f t="shared" si="5"/>
        <v>0</v>
      </c>
      <c r="T9" s="4">
        <v>0</v>
      </c>
      <c r="U9" s="4">
        <v>1000000</v>
      </c>
      <c r="V9" s="4">
        <v>1000000</v>
      </c>
      <c r="W9" s="4"/>
      <c r="X9" s="4"/>
      <c r="Y9" s="4"/>
      <c r="Z9" s="4"/>
      <c r="AA9" s="3"/>
      <c r="AB9" s="3" t="s">
        <v>258</v>
      </c>
      <c r="AC9" s="3">
        <v>745000</v>
      </c>
      <c r="AD9" s="4">
        <v>500000</v>
      </c>
      <c r="AE9" s="335"/>
      <c r="AF9" s="335"/>
      <c r="AG9" s="335"/>
      <c r="AH9" s="154"/>
      <c r="AI9" s="154"/>
      <c r="AJ9" s="154"/>
      <c r="AK9" s="154"/>
      <c r="AL9" s="154"/>
      <c r="AM9" s="154">
        <v>500000</v>
      </c>
      <c r="AN9" s="4">
        <v>500000</v>
      </c>
      <c r="AO9" s="4">
        <v>500000</v>
      </c>
      <c r="AP9" s="335"/>
      <c r="AQ9" s="335"/>
      <c r="AR9" s="335"/>
      <c r="AS9" s="335"/>
      <c r="AT9" s="335"/>
      <c r="AU9" s="4">
        <f t="shared" si="6"/>
        <v>0</v>
      </c>
      <c r="AV9" s="335"/>
      <c r="AW9" s="335"/>
      <c r="AX9" s="335"/>
      <c r="AY9" s="335"/>
      <c r="AZ9" s="335"/>
      <c r="BA9" s="299"/>
      <c r="BB9" s="299"/>
      <c r="BC9" s="299"/>
      <c r="BD9" s="299"/>
      <c r="BE9" s="299"/>
      <c r="BF9" s="299"/>
      <c r="BG9" s="299"/>
    </row>
    <row r="10" spans="1:59" s="6" customFormat="1" ht="31.95" customHeight="1">
      <c r="A10" s="3">
        <f t="shared" si="7"/>
        <v>6</v>
      </c>
      <c r="B10" s="3">
        <v>626</v>
      </c>
      <c r="C10" s="3" t="s">
        <v>471</v>
      </c>
      <c r="D10" s="4">
        <v>34775000</v>
      </c>
      <c r="E10" s="4">
        <v>34775000</v>
      </c>
      <c r="F10" s="4">
        <f t="shared" si="0"/>
        <v>0</v>
      </c>
      <c r="G10" s="4">
        <v>16075000</v>
      </c>
      <c r="H10" s="4">
        <v>13753546</v>
      </c>
      <c r="I10" s="4">
        <v>0</v>
      </c>
      <c r="J10" s="4">
        <v>194828</v>
      </c>
      <c r="K10" s="4">
        <f t="shared" si="1"/>
        <v>194828</v>
      </c>
      <c r="L10" s="4">
        <f t="shared" si="2"/>
        <v>13948374</v>
      </c>
      <c r="M10" s="4">
        <f>P10+S10-2100000+1000000</f>
        <v>1026626</v>
      </c>
      <c r="N10" s="4">
        <f>15000000-10000000-700000</f>
        <v>4300000</v>
      </c>
      <c r="O10" s="4">
        <f t="shared" si="3"/>
        <v>15500000</v>
      </c>
      <c r="P10" s="4">
        <f t="shared" si="4"/>
        <v>2126626</v>
      </c>
      <c r="Q10" s="4"/>
      <c r="R10" s="4"/>
      <c r="S10" s="4">
        <f t="shared" si="5"/>
        <v>0</v>
      </c>
      <c r="T10" s="4">
        <v>1100000</v>
      </c>
      <c r="U10" s="4">
        <v>3200000</v>
      </c>
      <c r="V10" s="4">
        <v>1200000</v>
      </c>
      <c r="W10" s="4"/>
      <c r="X10" s="4"/>
      <c r="Y10" s="4"/>
      <c r="Z10" s="4"/>
      <c r="AA10" s="4">
        <v>2000000</v>
      </c>
      <c r="AB10" s="3" t="s">
        <v>610</v>
      </c>
      <c r="AC10" s="3">
        <v>732000</v>
      </c>
      <c r="AD10" s="335"/>
      <c r="AE10" s="335"/>
      <c r="AF10" s="335"/>
      <c r="AG10" s="335"/>
      <c r="AH10" s="154">
        <v>1200000</v>
      </c>
      <c r="AI10" s="154"/>
      <c r="AJ10" s="154"/>
      <c r="AK10" s="154"/>
      <c r="AL10" s="154"/>
      <c r="AM10" s="154">
        <v>1200000</v>
      </c>
      <c r="AN10" s="4">
        <v>2000000</v>
      </c>
      <c r="AO10" s="4">
        <v>1200000</v>
      </c>
      <c r="AP10" s="335"/>
      <c r="AQ10" s="335"/>
      <c r="AR10" s="335"/>
      <c r="AS10" s="335"/>
      <c r="AT10" s="335"/>
      <c r="AU10" s="4">
        <f t="shared" si="6"/>
        <v>0</v>
      </c>
      <c r="AV10" s="335"/>
      <c r="AW10" s="335"/>
      <c r="AX10" s="335"/>
      <c r="AY10" s="335"/>
      <c r="AZ10" s="335"/>
      <c r="BA10" s="299"/>
      <c r="BB10" s="299"/>
      <c r="BC10" s="299"/>
      <c r="BD10" s="299"/>
      <c r="BE10" s="299"/>
      <c r="BF10" s="299"/>
      <c r="BG10" s="299"/>
    </row>
    <row r="11" spans="1:59" s="5" customFormat="1" ht="31.95" customHeight="1">
      <c r="A11" s="3">
        <f t="shared" si="7"/>
        <v>7</v>
      </c>
      <c r="B11" s="3">
        <v>638</v>
      </c>
      <c r="C11" s="3" t="s">
        <v>389</v>
      </c>
      <c r="D11" s="4">
        <f>7000000-2764000+200000</f>
        <v>4436000</v>
      </c>
      <c r="E11" s="4">
        <v>7000000</v>
      </c>
      <c r="F11" s="4">
        <f t="shared" si="0"/>
        <v>-2564000</v>
      </c>
      <c r="G11" s="4">
        <v>3936000</v>
      </c>
      <c r="H11" s="4">
        <v>3713997</v>
      </c>
      <c r="I11" s="4">
        <v>0</v>
      </c>
      <c r="J11" s="4">
        <v>2399</v>
      </c>
      <c r="K11" s="4">
        <f t="shared" si="1"/>
        <v>2399</v>
      </c>
      <c r="L11" s="4">
        <f t="shared" si="2"/>
        <v>3716396</v>
      </c>
      <c r="M11" s="4">
        <f>P11+S11-200000+200000</f>
        <v>719604</v>
      </c>
      <c r="N11" s="4">
        <f>1000000-1000000</f>
        <v>0</v>
      </c>
      <c r="O11" s="4">
        <f t="shared" si="3"/>
        <v>0</v>
      </c>
      <c r="P11" s="4">
        <f t="shared" si="4"/>
        <v>219604</v>
      </c>
      <c r="Q11" s="4">
        <f>300000+200000</f>
        <v>500000</v>
      </c>
      <c r="R11" s="4"/>
      <c r="S11" s="4">
        <f t="shared" si="5"/>
        <v>500000</v>
      </c>
      <c r="T11" s="4">
        <v>0</v>
      </c>
      <c r="U11" s="4">
        <v>0</v>
      </c>
      <c r="V11" s="4">
        <v>0</v>
      </c>
      <c r="W11" s="4"/>
      <c r="X11" s="4"/>
      <c r="Y11" s="4"/>
      <c r="Z11" s="4"/>
      <c r="AA11" s="3"/>
      <c r="AB11" s="3" t="s">
        <v>550</v>
      </c>
      <c r="AC11" s="3">
        <v>742000</v>
      </c>
      <c r="AD11" s="335"/>
      <c r="AE11" s="335"/>
      <c r="AF11" s="335"/>
      <c r="AG11" s="335"/>
      <c r="AH11" s="154"/>
      <c r="AI11" s="154"/>
      <c r="AJ11" s="154"/>
      <c r="AK11" s="154"/>
      <c r="AL11" s="154"/>
      <c r="AM11" s="154">
        <v>0</v>
      </c>
      <c r="AN11" s="4">
        <v>0</v>
      </c>
      <c r="AO11" s="4">
        <v>0</v>
      </c>
      <c r="AP11" s="335"/>
      <c r="AQ11" s="335"/>
      <c r="AR11" s="335"/>
      <c r="AS11" s="335"/>
      <c r="AT11" s="335"/>
      <c r="AU11" s="4">
        <f t="shared" si="6"/>
        <v>0</v>
      </c>
      <c r="AV11" s="335"/>
      <c r="AW11" s="335"/>
      <c r="AX11" s="335"/>
      <c r="AY11" s="335"/>
      <c r="AZ11" s="335"/>
      <c r="BA11" s="299"/>
      <c r="BB11" s="299"/>
      <c r="BC11" s="299"/>
      <c r="BD11" s="299"/>
      <c r="BE11" s="299"/>
      <c r="BF11" s="299"/>
      <c r="BG11" s="299"/>
    </row>
    <row r="12" spans="1:59" s="5" customFormat="1" ht="31.95" customHeight="1">
      <c r="A12" s="3">
        <f t="shared" si="7"/>
        <v>8</v>
      </c>
      <c r="B12" s="3">
        <v>1018</v>
      </c>
      <c r="C12" s="3" t="s">
        <v>24</v>
      </c>
      <c r="D12" s="4">
        <v>31900000</v>
      </c>
      <c r="E12" s="4">
        <v>31900000</v>
      </c>
      <c r="F12" s="4">
        <f t="shared" si="0"/>
        <v>0</v>
      </c>
      <c r="G12" s="4">
        <v>3150000</v>
      </c>
      <c r="H12" s="4">
        <v>3059671</v>
      </c>
      <c r="I12" s="4">
        <v>84193</v>
      </c>
      <c r="J12" s="4">
        <v>0</v>
      </c>
      <c r="K12" s="4">
        <f t="shared" si="1"/>
        <v>84193</v>
      </c>
      <c r="L12" s="4">
        <f t="shared" si="2"/>
        <v>3143864</v>
      </c>
      <c r="M12" s="4">
        <f>P12+S12</f>
        <v>6136</v>
      </c>
      <c r="N12" s="4"/>
      <c r="O12" s="4">
        <f t="shared" si="3"/>
        <v>28750000</v>
      </c>
      <c r="P12" s="4">
        <f t="shared" si="4"/>
        <v>6136</v>
      </c>
      <c r="Q12" s="4"/>
      <c r="R12" s="4"/>
      <c r="S12" s="4">
        <f t="shared" si="5"/>
        <v>0</v>
      </c>
      <c r="T12" s="4">
        <v>0</v>
      </c>
      <c r="U12" s="4">
        <v>0</v>
      </c>
      <c r="V12" s="4">
        <v>0</v>
      </c>
      <c r="W12" s="4"/>
      <c r="X12" s="4"/>
      <c r="Y12" s="4"/>
      <c r="Z12" s="4"/>
      <c r="AA12" s="3"/>
      <c r="AB12" s="3" t="s">
        <v>414</v>
      </c>
      <c r="AC12" s="3">
        <v>742000</v>
      </c>
      <c r="AD12" s="335"/>
      <c r="AE12" s="335"/>
      <c r="AF12" s="335"/>
      <c r="AG12" s="335"/>
      <c r="AH12" s="154"/>
      <c r="AI12" s="154"/>
      <c r="AJ12" s="154"/>
      <c r="AK12" s="154"/>
      <c r="AL12" s="154"/>
      <c r="AM12" s="154">
        <v>0</v>
      </c>
      <c r="AN12" s="4">
        <v>0</v>
      </c>
      <c r="AO12" s="4">
        <v>0</v>
      </c>
      <c r="AP12" s="335"/>
      <c r="AQ12" s="335"/>
      <c r="AR12" s="335"/>
      <c r="AS12" s="335"/>
      <c r="AT12" s="335"/>
      <c r="AU12" s="4">
        <f t="shared" si="6"/>
        <v>0</v>
      </c>
      <c r="AV12" s="335"/>
      <c r="AW12" s="335"/>
      <c r="AX12" s="335"/>
      <c r="AY12" s="335"/>
      <c r="AZ12" s="335"/>
      <c r="BA12" s="299"/>
      <c r="BB12" s="299"/>
      <c r="BC12" s="299"/>
      <c r="BD12" s="299"/>
      <c r="BE12" s="299"/>
      <c r="BF12" s="299"/>
      <c r="BG12" s="299"/>
    </row>
    <row r="13" spans="1:59" s="5" customFormat="1" ht="31.95" customHeight="1">
      <c r="A13" s="3">
        <f t="shared" si="7"/>
        <v>9</v>
      </c>
      <c r="B13" s="3">
        <v>1100</v>
      </c>
      <c r="C13" s="3" t="s">
        <v>17</v>
      </c>
      <c r="D13" s="4">
        <v>7000000</v>
      </c>
      <c r="E13" s="4">
        <v>7000000</v>
      </c>
      <c r="F13" s="4">
        <f t="shared" si="0"/>
        <v>0</v>
      </c>
      <c r="G13" s="4">
        <f>6250000+250000</f>
        <v>6500000</v>
      </c>
      <c r="H13" s="4">
        <v>5375582</v>
      </c>
      <c r="I13" s="4">
        <v>830137</v>
      </c>
      <c r="J13" s="4">
        <v>277574</v>
      </c>
      <c r="K13" s="4">
        <f t="shared" si="1"/>
        <v>1107711</v>
      </c>
      <c r="L13" s="4">
        <f t="shared" si="2"/>
        <v>6483293</v>
      </c>
      <c r="M13" s="4">
        <f>P13+S13-100000+100000</f>
        <v>166707</v>
      </c>
      <c r="N13" s="4">
        <v>300000</v>
      </c>
      <c r="O13" s="4">
        <f t="shared" si="3"/>
        <v>50000</v>
      </c>
      <c r="P13" s="4">
        <f t="shared" si="4"/>
        <v>16707</v>
      </c>
      <c r="Q13" s="4">
        <v>150000</v>
      </c>
      <c r="R13" s="4"/>
      <c r="S13" s="4">
        <f t="shared" si="5"/>
        <v>150000</v>
      </c>
      <c r="T13" s="4">
        <v>0</v>
      </c>
      <c r="U13" s="4">
        <v>300000</v>
      </c>
      <c r="V13" s="4">
        <v>300000</v>
      </c>
      <c r="W13" s="4"/>
      <c r="X13" s="4"/>
      <c r="Y13" s="4"/>
      <c r="Z13" s="4"/>
      <c r="AA13" s="3"/>
      <c r="AB13" s="3" t="s">
        <v>469</v>
      </c>
      <c r="AC13" s="3">
        <v>732000</v>
      </c>
      <c r="AD13" s="335"/>
      <c r="AE13" s="335"/>
      <c r="AF13" s="335"/>
      <c r="AG13" s="335"/>
      <c r="AH13" s="154"/>
      <c r="AI13" s="154"/>
      <c r="AJ13" s="154"/>
      <c r="AK13" s="154"/>
      <c r="AL13" s="154"/>
      <c r="AM13" s="154">
        <v>0</v>
      </c>
      <c r="AN13" s="4">
        <v>300000</v>
      </c>
      <c r="AO13" s="4">
        <v>0</v>
      </c>
      <c r="AP13" s="335"/>
      <c r="AQ13" s="335"/>
      <c r="AR13" s="335"/>
      <c r="AS13" s="335"/>
      <c r="AT13" s="335"/>
      <c r="AU13" s="4">
        <f t="shared" si="6"/>
        <v>0</v>
      </c>
      <c r="AV13" s="335"/>
      <c r="AW13" s="335"/>
      <c r="AX13" s="335"/>
      <c r="AY13" s="335"/>
      <c r="AZ13" s="335"/>
      <c r="BA13" s="299"/>
      <c r="BB13" s="299"/>
      <c r="BC13" s="299"/>
      <c r="BD13" s="299"/>
      <c r="BE13" s="299"/>
      <c r="BF13" s="299"/>
      <c r="BG13" s="299"/>
    </row>
    <row r="14" spans="1:59" s="6" customFormat="1" ht="31.95" customHeight="1">
      <c r="A14" s="3">
        <f t="shared" si="7"/>
        <v>10</v>
      </c>
      <c r="B14" s="3">
        <v>1129</v>
      </c>
      <c r="C14" s="3" t="s">
        <v>31</v>
      </c>
      <c r="D14" s="4">
        <v>7000000</v>
      </c>
      <c r="E14" s="4">
        <v>7000000</v>
      </c>
      <c r="F14" s="4">
        <f t="shared" si="0"/>
        <v>0</v>
      </c>
      <c r="G14" s="4">
        <f>6241771+250000</f>
        <v>6491771</v>
      </c>
      <c r="H14" s="4">
        <v>5523249</v>
      </c>
      <c r="I14" s="4">
        <v>0</v>
      </c>
      <c r="J14" s="4">
        <v>648499</v>
      </c>
      <c r="K14" s="4">
        <f t="shared" si="1"/>
        <v>648499</v>
      </c>
      <c r="L14" s="4">
        <f t="shared" si="2"/>
        <v>6171748</v>
      </c>
      <c r="M14" s="4">
        <f>P14+S14-300000</f>
        <v>20023</v>
      </c>
      <c r="N14" s="4">
        <v>600000</v>
      </c>
      <c r="O14" s="4">
        <f t="shared" si="3"/>
        <v>208229</v>
      </c>
      <c r="P14" s="4">
        <f t="shared" si="4"/>
        <v>320023</v>
      </c>
      <c r="Q14" s="4"/>
      <c r="R14" s="4"/>
      <c r="S14" s="4">
        <f t="shared" si="5"/>
        <v>0</v>
      </c>
      <c r="T14" s="4">
        <v>300000</v>
      </c>
      <c r="U14" s="4">
        <v>300000</v>
      </c>
      <c r="V14" s="4">
        <v>300000</v>
      </c>
      <c r="W14" s="4"/>
      <c r="X14" s="4"/>
      <c r="Y14" s="4"/>
      <c r="Z14" s="4"/>
      <c r="AA14" s="3"/>
      <c r="AB14" s="3" t="s">
        <v>340</v>
      </c>
      <c r="AC14" s="3">
        <v>742000</v>
      </c>
      <c r="AD14" s="335"/>
      <c r="AE14" s="335"/>
      <c r="AF14" s="335"/>
      <c r="AG14" s="335"/>
      <c r="AH14" s="154"/>
      <c r="AI14" s="154">
        <v>300000</v>
      </c>
      <c r="AJ14" s="154"/>
      <c r="AK14" s="154"/>
      <c r="AL14" s="154"/>
      <c r="AM14" s="154">
        <v>300000</v>
      </c>
      <c r="AN14" s="4">
        <v>0</v>
      </c>
      <c r="AO14" s="4">
        <v>300000</v>
      </c>
      <c r="AP14" s="335"/>
      <c r="AQ14" s="335"/>
      <c r="AR14" s="335"/>
      <c r="AS14" s="335"/>
      <c r="AT14" s="335"/>
      <c r="AU14" s="4">
        <f t="shared" si="6"/>
        <v>0</v>
      </c>
      <c r="AV14" s="335"/>
      <c r="AW14" s="335"/>
      <c r="AX14" s="335"/>
      <c r="AY14" s="335"/>
      <c r="AZ14" s="335"/>
      <c r="BA14" s="299"/>
      <c r="BB14" s="299"/>
      <c r="BC14" s="299"/>
      <c r="BD14" s="299"/>
      <c r="BE14" s="299"/>
      <c r="BF14" s="299"/>
      <c r="BG14" s="299"/>
    </row>
    <row r="15" spans="1:59" s="5" customFormat="1" ht="31.95" customHeight="1">
      <c r="A15" s="3">
        <f t="shared" si="7"/>
        <v>11</v>
      </c>
      <c r="B15" s="3">
        <v>1220</v>
      </c>
      <c r="C15" s="3" t="s">
        <v>33</v>
      </c>
      <c r="D15" s="4">
        <f>7000000+50000+300000+310000+100000-500000</f>
        <v>7260000</v>
      </c>
      <c r="E15" s="4">
        <v>7000000</v>
      </c>
      <c r="F15" s="4">
        <f t="shared" si="0"/>
        <v>260000</v>
      </c>
      <c r="G15" s="4">
        <f>6010000+150000</f>
        <v>6160000</v>
      </c>
      <c r="H15" s="4">
        <v>5522194</v>
      </c>
      <c r="I15" s="4">
        <v>0</v>
      </c>
      <c r="J15" s="4">
        <v>441804</v>
      </c>
      <c r="K15" s="4">
        <f t="shared" si="1"/>
        <v>441804</v>
      </c>
      <c r="L15" s="4">
        <f t="shared" si="2"/>
        <v>5963998</v>
      </c>
      <c r="M15" s="4">
        <f>P15+S15-450000-10000+300000+160000</f>
        <v>296002</v>
      </c>
      <c r="N15" s="4">
        <f>1500000-500000</f>
        <v>1000000</v>
      </c>
      <c r="O15" s="4">
        <f t="shared" si="3"/>
        <v>0</v>
      </c>
      <c r="P15" s="4">
        <f t="shared" si="4"/>
        <v>196002</v>
      </c>
      <c r="Q15" s="4">
        <v>100000</v>
      </c>
      <c r="R15" s="4"/>
      <c r="S15" s="4">
        <f t="shared" si="5"/>
        <v>100000</v>
      </c>
      <c r="T15" s="4">
        <v>0</v>
      </c>
      <c r="U15" s="4">
        <v>1000000</v>
      </c>
      <c r="V15" s="4">
        <v>1000000</v>
      </c>
      <c r="W15" s="4"/>
      <c r="X15" s="4"/>
      <c r="Y15" s="4"/>
      <c r="Z15" s="4"/>
      <c r="AA15" s="3"/>
      <c r="AB15" s="3" t="s">
        <v>577</v>
      </c>
      <c r="AC15" s="3">
        <v>732000</v>
      </c>
      <c r="AD15" s="335"/>
      <c r="AE15" s="335"/>
      <c r="AF15" s="335"/>
      <c r="AG15" s="335"/>
      <c r="AH15" s="154"/>
      <c r="AI15" s="154"/>
      <c r="AJ15" s="154"/>
      <c r="AK15" s="154"/>
      <c r="AL15" s="154"/>
      <c r="AM15" s="154">
        <v>0</v>
      </c>
      <c r="AN15" s="4">
        <v>1000000</v>
      </c>
      <c r="AO15" s="4">
        <v>0</v>
      </c>
      <c r="AP15" s="335"/>
      <c r="AQ15" s="335"/>
      <c r="AR15" s="335"/>
      <c r="AS15" s="335"/>
      <c r="AT15" s="335"/>
      <c r="AU15" s="4">
        <f t="shared" si="6"/>
        <v>0</v>
      </c>
      <c r="AV15" s="335"/>
      <c r="AW15" s="335"/>
      <c r="AX15" s="335"/>
      <c r="AY15" s="335"/>
      <c r="AZ15" s="335"/>
      <c r="BA15" s="299"/>
      <c r="BB15" s="299"/>
      <c r="BC15" s="299"/>
      <c r="BD15" s="299"/>
      <c r="BE15" s="299"/>
      <c r="BF15" s="299"/>
      <c r="BG15" s="299"/>
    </row>
    <row r="16" spans="1:59" s="5" customFormat="1" ht="31.95" customHeight="1">
      <c r="A16" s="3">
        <f t="shared" si="7"/>
        <v>12</v>
      </c>
      <c r="B16" s="3">
        <v>1363</v>
      </c>
      <c r="C16" s="3" t="s">
        <v>965</v>
      </c>
      <c r="D16" s="4">
        <f>7550000+950000-950000-150000</f>
        <v>7400000</v>
      </c>
      <c r="E16" s="4">
        <v>7550000</v>
      </c>
      <c r="F16" s="4">
        <f t="shared" si="0"/>
        <v>-150000</v>
      </c>
      <c r="G16" s="4">
        <v>7550000</v>
      </c>
      <c r="H16" s="4">
        <v>7068186</v>
      </c>
      <c r="I16" s="4">
        <v>72510</v>
      </c>
      <c r="J16" s="4">
        <v>158417</v>
      </c>
      <c r="K16" s="4">
        <f t="shared" si="1"/>
        <v>230927</v>
      </c>
      <c r="L16" s="4">
        <f t="shared" si="2"/>
        <v>7299113</v>
      </c>
      <c r="M16" s="4">
        <f>P16+S16-950000+950000-150000</f>
        <v>100887</v>
      </c>
      <c r="N16" s="4">
        <f>957852-7852-950000</f>
        <v>0</v>
      </c>
      <c r="O16" s="4">
        <f t="shared" si="3"/>
        <v>0</v>
      </c>
      <c r="P16" s="4">
        <f t="shared" si="4"/>
        <v>250887</v>
      </c>
      <c r="Q16" s="4"/>
      <c r="R16" s="4"/>
      <c r="S16" s="4">
        <f t="shared" si="5"/>
        <v>0</v>
      </c>
      <c r="T16" s="4">
        <v>150000</v>
      </c>
      <c r="U16" s="4">
        <v>-150000</v>
      </c>
      <c r="V16" s="4">
        <v>-150000</v>
      </c>
      <c r="W16" s="4"/>
      <c r="X16" s="4"/>
      <c r="Y16" s="4"/>
      <c r="Z16" s="4"/>
      <c r="AA16" s="3"/>
      <c r="AB16" s="3" t="s">
        <v>646</v>
      </c>
      <c r="AC16" s="3">
        <v>742000</v>
      </c>
      <c r="AD16" s="335"/>
      <c r="AE16" s="335"/>
      <c r="AF16" s="335"/>
      <c r="AG16" s="335"/>
      <c r="AH16" s="154">
        <v>-150000</v>
      </c>
      <c r="AI16" s="154"/>
      <c r="AJ16" s="154"/>
      <c r="AK16" s="154"/>
      <c r="AL16" s="154"/>
      <c r="AM16" s="154">
        <v>-150000</v>
      </c>
      <c r="AN16" s="4">
        <v>0</v>
      </c>
      <c r="AO16" s="4">
        <v>-150000</v>
      </c>
      <c r="AP16" s="335"/>
      <c r="AQ16" s="335"/>
      <c r="AR16" s="335"/>
      <c r="AS16" s="335"/>
      <c r="AT16" s="335"/>
      <c r="AU16" s="4">
        <f t="shared" si="6"/>
        <v>0</v>
      </c>
      <c r="AV16" s="335"/>
      <c r="AW16" s="335"/>
      <c r="AX16" s="335"/>
      <c r="AY16" s="335"/>
      <c r="AZ16" s="335"/>
      <c r="BA16" s="299"/>
      <c r="BB16" s="299"/>
      <c r="BC16" s="299"/>
      <c r="BD16" s="299"/>
      <c r="BE16" s="299"/>
      <c r="BF16" s="299"/>
      <c r="BG16" s="299"/>
    </row>
    <row r="17" spans="1:59" s="6" customFormat="1" ht="31.95" customHeight="1">
      <c r="A17" s="3">
        <f t="shared" si="7"/>
        <v>13</v>
      </c>
      <c r="B17" s="3">
        <v>1366</v>
      </c>
      <c r="C17" s="3" t="s">
        <v>36</v>
      </c>
      <c r="D17" s="4">
        <f>1500000+1246000+130000-1500000+124000</f>
        <v>1500000</v>
      </c>
      <c r="E17" s="4">
        <v>1500000</v>
      </c>
      <c r="F17" s="4">
        <f t="shared" si="0"/>
        <v>0</v>
      </c>
      <c r="G17" s="4">
        <f>846000+130000</f>
        <v>976000</v>
      </c>
      <c r="H17" s="4">
        <v>742521</v>
      </c>
      <c r="I17" s="4">
        <v>0</v>
      </c>
      <c r="J17" s="4">
        <v>217545</v>
      </c>
      <c r="K17" s="4">
        <f t="shared" si="1"/>
        <v>217545</v>
      </c>
      <c r="L17" s="4">
        <f t="shared" si="2"/>
        <v>960066</v>
      </c>
      <c r="M17" s="4">
        <f>P17+S17</f>
        <v>115934</v>
      </c>
      <c r="N17" s="4">
        <f>1900000-1500000-100000</f>
        <v>300000</v>
      </c>
      <c r="O17" s="4">
        <f t="shared" si="3"/>
        <v>124000</v>
      </c>
      <c r="P17" s="4">
        <f t="shared" si="4"/>
        <v>15934</v>
      </c>
      <c r="Q17" s="4">
        <v>100000</v>
      </c>
      <c r="R17" s="4"/>
      <c r="S17" s="4">
        <f t="shared" si="5"/>
        <v>100000</v>
      </c>
      <c r="T17" s="4">
        <v>0</v>
      </c>
      <c r="U17" s="4">
        <v>300000</v>
      </c>
      <c r="V17" s="4">
        <v>300000</v>
      </c>
      <c r="W17" s="4"/>
      <c r="X17" s="4"/>
      <c r="Y17" s="4"/>
      <c r="Z17" s="4"/>
      <c r="AA17" s="3"/>
      <c r="AB17" s="3" t="s">
        <v>551</v>
      </c>
      <c r="AC17" s="3">
        <v>742000</v>
      </c>
      <c r="AD17" s="335"/>
      <c r="AE17" s="335"/>
      <c r="AF17" s="335"/>
      <c r="AG17" s="335"/>
      <c r="AH17" s="154"/>
      <c r="AI17" s="154"/>
      <c r="AJ17" s="154"/>
      <c r="AK17" s="154"/>
      <c r="AL17" s="154"/>
      <c r="AM17" s="154">
        <v>0</v>
      </c>
      <c r="AN17" s="4">
        <v>300000</v>
      </c>
      <c r="AO17" s="4">
        <v>0</v>
      </c>
      <c r="AP17" s="335"/>
      <c r="AQ17" s="335"/>
      <c r="AR17" s="335"/>
      <c r="AS17" s="335"/>
      <c r="AT17" s="335"/>
      <c r="AU17" s="4">
        <f t="shared" si="6"/>
        <v>0</v>
      </c>
      <c r="AV17" s="335"/>
      <c r="AW17" s="335"/>
      <c r="AX17" s="335"/>
      <c r="AY17" s="335"/>
      <c r="AZ17" s="335"/>
      <c r="BA17" s="299"/>
      <c r="BB17" s="299"/>
      <c r="BC17" s="299"/>
      <c r="BD17" s="299"/>
      <c r="BE17" s="299"/>
      <c r="BF17" s="299"/>
      <c r="BG17" s="299"/>
    </row>
    <row r="18" spans="1:59" s="6" customFormat="1" ht="31.95" customHeight="1">
      <c r="A18" s="3">
        <f t="shared" si="7"/>
        <v>14</v>
      </c>
      <c r="B18" s="3">
        <v>1406</v>
      </c>
      <c r="C18" s="3" t="s">
        <v>105</v>
      </c>
      <c r="D18" s="4">
        <f>1200000+200000-50000</f>
        <v>1350000</v>
      </c>
      <c r="E18" s="4">
        <v>1200000</v>
      </c>
      <c r="F18" s="4">
        <f t="shared" si="0"/>
        <v>150000</v>
      </c>
      <c r="G18" s="4">
        <v>1200000</v>
      </c>
      <c r="H18" s="4">
        <v>913271</v>
      </c>
      <c r="I18" s="4">
        <v>1</v>
      </c>
      <c r="J18" s="4">
        <v>30747</v>
      </c>
      <c r="K18" s="4">
        <f t="shared" si="1"/>
        <v>30748</v>
      </c>
      <c r="L18" s="4">
        <f t="shared" si="2"/>
        <v>944019</v>
      </c>
      <c r="M18" s="4">
        <f>P18+S18-250000+200000</f>
        <v>205981</v>
      </c>
      <c r="N18" s="4">
        <f>250000-50000</f>
        <v>200000</v>
      </c>
      <c r="O18" s="4">
        <f t="shared" si="3"/>
        <v>0</v>
      </c>
      <c r="P18" s="4">
        <f t="shared" si="4"/>
        <v>255981</v>
      </c>
      <c r="Q18" s="4"/>
      <c r="R18" s="4"/>
      <c r="S18" s="4">
        <f t="shared" si="5"/>
        <v>0</v>
      </c>
      <c r="T18" s="4">
        <v>50000</v>
      </c>
      <c r="U18" s="4">
        <v>150000</v>
      </c>
      <c r="V18" s="4">
        <v>150000</v>
      </c>
      <c r="W18" s="4"/>
      <c r="X18" s="4"/>
      <c r="Y18" s="4"/>
      <c r="Z18" s="4"/>
      <c r="AA18" s="3"/>
      <c r="AB18" s="3" t="s">
        <v>552</v>
      </c>
      <c r="AC18" s="3">
        <v>732000</v>
      </c>
      <c r="AD18" s="335"/>
      <c r="AE18" s="335"/>
      <c r="AF18" s="335"/>
      <c r="AG18" s="335"/>
      <c r="AH18" s="154"/>
      <c r="AI18" s="154"/>
      <c r="AJ18" s="154"/>
      <c r="AK18" s="154"/>
      <c r="AL18" s="435">
        <v>50000</v>
      </c>
      <c r="AM18" s="154">
        <v>50000</v>
      </c>
      <c r="AN18" s="4">
        <v>100000</v>
      </c>
      <c r="AO18" s="4">
        <v>50000</v>
      </c>
      <c r="AP18" s="335"/>
      <c r="AQ18" s="335"/>
      <c r="AR18" s="335"/>
      <c r="AS18" s="335"/>
      <c r="AT18" s="335"/>
      <c r="AU18" s="4">
        <f t="shared" si="6"/>
        <v>50000</v>
      </c>
      <c r="AV18" s="335"/>
      <c r="AW18" s="335"/>
      <c r="AX18" s="335"/>
      <c r="AY18" s="335"/>
      <c r="AZ18" s="335"/>
      <c r="BA18" s="299"/>
      <c r="BB18" s="299"/>
      <c r="BC18" s="299"/>
      <c r="BD18" s="299"/>
      <c r="BE18" s="299"/>
      <c r="BF18" s="299"/>
      <c r="BG18" s="299"/>
    </row>
    <row r="19" spans="1:59" s="6" customFormat="1" ht="31.95" customHeight="1">
      <c r="A19" s="3">
        <f t="shared" si="7"/>
        <v>15</v>
      </c>
      <c r="B19" s="3">
        <v>1407</v>
      </c>
      <c r="C19" s="3" t="s">
        <v>18</v>
      </c>
      <c r="D19" s="4">
        <v>5295000</v>
      </c>
      <c r="E19" s="4">
        <v>5295000</v>
      </c>
      <c r="F19" s="4">
        <f t="shared" si="0"/>
        <v>0</v>
      </c>
      <c r="G19" s="4">
        <v>4145000</v>
      </c>
      <c r="H19" s="4">
        <v>2777353</v>
      </c>
      <c r="I19" s="4">
        <v>197044</v>
      </c>
      <c r="J19" s="4">
        <v>622715</v>
      </c>
      <c r="K19" s="4">
        <f t="shared" si="1"/>
        <v>819759</v>
      </c>
      <c r="L19" s="4">
        <f t="shared" si="2"/>
        <v>3597112</v>
      </c>
      <c r="M19" s="4">
        <f>P19+S19-700000+300000+400000-200000</f>
        <v>347888</v>
      </c>
      <c r="N19" s="4">
        <f>700000-400000-100000</f>
        <v>200000</v>
      </c>
      <c r="O19" s="4">
        <f t="shared" si="3"/>
        <v>1150000</v>
      </c>
      <c r="P19" s="4">
        <f t="shared" si="4"/>
        <v>547888</v>
      </c>
      <c r="Q19" s="4"/>
      <c r="R19" s="4"/>
      <c r="S19" s="4">
        <f t="shared" si="5"/>
        <v>0</v>
      </c>
      <c r="T19" s="4">
        <v>200000</v>
      </c>
      <c r="U19" s="4">
        <v>0</v>
      </c>
      <c r="V19" s="4">
        <v>0</v>
      </c>
      <c r="W19" s="4"/>
      <c r="X19" s="4"/>
      <c r="Y19" s="4"/>
      <c r="Z19" s="4"/>
      <c r="AA19" s="3"/>
      <c r="AB19" s="3" t="s">
        <v>576</v>
      </c>
      <c r="AC19" s="3">
        <v>732000</v>
      </c>
      <c r="AD19" s="335"/>
      <c r="AE19" s="335"/>
      <c r="AF19" s="335"/>
      <c r="AG19" s="335"/>
      <c r="AH19" s="154"/>
      <c r="AI19" s="154"/>
      <c r="AJ19" s="154"/>
      <c r="AK19" s="154"/>
      <c r="AL19" s="154"/>
      <c r="AM19" s="154">
        <v>0</v>
      </c>
      <c r="AN19" s="4">
        <v>0</v>
      </c>
      <c r="AO19" s="4">
        <v>0</v>
      </c>
      <c r="AP19" s="335"/>
      <c r="AQ19" s="335"/>
      <c r="AR19" s="335"/>
      <c r="AS19" s="335"/>
      <c r="AT19" s="335"/>
      <c r="AU19" s="4">
        <f t="shared" si="6"/>
        <v>0</v>
      </c>
      <c r="AV19" s="335"/>
      <c r="AW19" s="335"/>
      <c r="AX19" s="335"/>
      <c r="AY19" s="335"/>
      <c r="AZ19" s="335"/>
      <c r="BA19" s="299"/>
      <c r="BB19" s="299"/>
      <c r="BC19" s="299"/>
      <c r="BD19" s="299"/>
      <c r="BE19" s="299"/>
      <c r="BF19" s="299"/>
      <c r="BG19" s="299"/>
    </row>
    <row r="20" spans="1:59" s="5" customFormat="1" ht="31.95" customHeight="1">
      <c r="A20" s="3">
        <f t="shared" si="7"/>
        <v>16</v>
      </c>
      <c r="B20" s="3">
        <v>1409</v>
      </c>
      <c r="C20" s="28" t="s">
        <v>415</v>
      </c>
      <c r="D20" s="4">
        <v>7680000</v>
      </c>
      <c r="E20" s="4">
        <v>7680000</v>
      </c>
      <c r="F20" s="4">
        <f t="shared" si="0"/>
        <v>0</v>
      </c>
      <c r="G20" s="4">
        <v>7330000</v>
      </c>
      <c r="H20" s="4">
        <v>5099564</v>
      </c>
      <c r="I20" s="4">
        <v>1314720</v>
      </c>
      <c r="J20" s="4">
        <v>2925</v>
      </c>
      <c r="K20" s="4">
        <f t="shared" si="1"/>
        <v>1317645</v>
      </c>
      <c r="L20" s="4">
        <f t="shared" si="2"/>
        <v>6417209</v>
      </c>
      <c r="M20" s="4">
        <f>P20+S20-900000</f>
        <v>12791</v>
      </c>
      <c r="N20" s="4">
        <f>900000-100000</f>
        <v>800000</v>
      </c>
      <c r="O20" s="4">
        <f t="shared" si="3"/>
        <v>450000</v>
      </c>
      <c r="P20" s="4">
        <f t="shared" si="4"/>
        <v>912791</v>
      </c>
      <c r="Q20" s="4"/>
      <c r="R20" s="4"/>
      <c r="S20" s="4">
        <f t="shared" si="5"/>
        <v>0</v>
      </c>
      <c r="T20" s="4">
        <v>900000</v>
      </c>
      <c r="U20" s="4">
        <v>-100000</v>
      </c>
      <c r="V20" s="4">
        <v>-100000</v>
      </c>
      <c r="W20" s="4"/>
      <c r="X20" s="4"/>
      <c r="Y20" s="4"/>
      <c r="Z20" s="4"/>
      <c r="AA20" s="3"/>
      <c r="AB20" s="3" t="s">
        <v>578</v>
      </c>
      <c r="AC20" s="3">
        <v>732000</v>
      </c>
      <c r="AD20" s="335"/>
      <c r="AE20" s="335"/>
      <c r="AF20" s="335"/>
      <c r="AG20" s="4">
        <v>-100000</v>
      </c>
      <c r="AH20" s="4"/>
      <c r="AI20" s="4"/>
      <c r="AJ20" s="4"/>
      <c r="AK20" s="4"/>
      <c r="AL20" s="4"/>
      <c r="AM20" s="154">
        <v>-100000</v>
      </c>
      <c r="AN20" s="4">
        <v>0</v>
      </c>
      <c r="AO20" s="4">
        <v>-100000</v>
      </c>
      <c r="AP20" s="335"/>
      <c r="AQ20" s="335"/>
      <c r="AR20" s="335"/>
      <c r="AS20" s="335"/>
      <c r="AT20" s="335"/>
      <c r="AU20" s="4">
        <f t="shared" si="6"/>
        <v>0</v>
      </c>
      <c r="AV20" s="335"/>
      <c r="AW20" s="335"/>
      <c r="AX20" s="335"/>
      <c r="AY20" s="335"/>
      <c r="AZ20" s="335"/>
      <c r="BA20" s="299"/>
      <c r="BB20" s="299"/>
      <c r="BC20" s="299"/>
      <c r="BD20" s="299"/>
      <c r="BE20" s="299"/>
      <c r="BF20" s="299"/>
      <c r="BG20" s="299"/>
    </row>
    <row r="21" spans="1:59" s="5" customFormat="1" ht="31.95" customHeight="1">
      <c r="A21" s="3">
        <f t="shared" si="7"/>
        <v>17</v>
      </c>
      <c r="B21" s="3">
        <v>1457</v>
      </c>
      <c r="C21" s="3" t="s">
        <v>1206</v>
      </c>
      <c r="D21" s="4">
        <v>230000</v>
      </c>
      <c r="E21" s="4">
        <v>230000</v>
      </c>
      <c r="F21" s="4">
        <f t="shared" si="0"/>
        <v>0</v>
      </c>
      <c r="G21" s="4">
        <v>230000</v>
      </c>
      <c r="H21" s="4">
        <v>171904</v>
      </c>
      <c r="I21" s="4">
        <v>0</v>
      </c>
      <c r="J21" s="4">
        <v>40358</v>
      </c>
      <c r="K21" s="4">
        <f t="shared" si="1"/>
        <v>40358</v>
      </c>
      <c r="L21" s="4">
        <f t="shared" si="2"/>
        <v>212262</v>
      </c>
      <c r="M21" s="4">
        <f>P21+S21</f>
        <v>17738</v>
      </c>
      <c r="N21" s="4"/>
      <c r="O21" s="4">
        <f t="shared" si="3"/>
        <v>0</v>
      </c>
      <c r="P21" s="4">
        <f t="shared" si="4"/>
        <v>17738</v>
      </c>
      <c r="Q21" s="4"/>
      <c r="R21" s="4"/>
      <c r="S21" s="4">
        <f t="shared" si="5"/>
        <v>0</v>
      </c>
      <c r="T21" s="4">
        <v>0</v>
      </c>
      <c r="U21" s="4">
        <v>0</v>
      </c>
      <c r="V21" s="4">
        <v>0</v>
      </c>
      <c r="W21" s="4"/>
      <c r="X21" s="4"/>
      <c r="Y21" s="4"/>
      <c r="Z21" s="4"/>
      <c r="AA21" s="3"/>
      <c r="AB21" s="3" t="s">
        <v>1486</v>
      </c>
      <c r="AC21" s="3">
        <v>742000</v>
      </c>
      <c r="AD21" s="335"/>
      <c r="AE21" s="335"/>
      <c r="AF21" s="335"/>
      <c r="AG21" s="335"/>
      <c r="AH21" s="4"/>
      <c r="AI21" s="4"/>
      <c r="AJ21" s="4"/>
      <c r="AK21" s="4"/>
      <c r="AL21" s="4"/>
      <c r="AM21" s="154">
        <v>0</v>
      </c>
      <c r="AN21" s="4">
        <v>0</v>
      </c>
      <c r="AO21" s="4">
        <v>0</v>
      </c>
      <c r="AP21" s="335"/>
      <c r="AQ21" s="335"/>
      <c r="AR21" s="335"/>
      <c r="AS21" s="335"/>
      <c r="AT21" s="335"/>
      <c r="AU21" s="4">
        <f t="shared" si="6"/>
        <v>0</v>
      </c>
      <c r="AV21" s="335"/>
      <c r="AW21" s="335"/>
      <c r="AX21" s="335"/>
      <c r="AY21" s="335"/>
      <c r="AZ21" s="335"/>
      <c r="BA21" s="299"/>
      <c r="BB21" s="299"/>
      <c r="BC21" s="299"/>
      <c r="BD21" s="299"/>
      <c r="BE21" s="299"/>
      <c r="BF21" s="299"/>
      <c r="BG21" s="299"/>
    </row>
    <row r="22" spans="1:59" s="5" customFormat="1" ht="31.95" customHeight="1">
      <c r="A22" s="3">
        <f t="shared" si="7"/>
        <v>18</v>
      </c>
      <c r="B22" s="3">
        <v>1466</v>
      </c>
      <c r="C22" s="3" t="s">
        <v>19</v>
      </c>
      <c r="D22" s="4">
        <v>2200000</v>
      </c>
      <c r="E22" s="4">
        <v>2200000</v>
      </c>
      <c r="F22" s="4">
        <f t="shared" si="0"/>
        <v>0</v>
      </c>
      <c r="G22" s="4">
        <v>1500000</v>
      </c>
      <c r="H22" s="4">
        <v>1277745</v>
      </c>
      <c r="I22" s="4">
        <v>0</v>
      </c>
      <c r="J22" s="4">
        <v>29681</v>
      </c>
      <c r="K22" s="4">
        <f t="shared" si="1"/>
        <v>29681</v>
      </c>
      <c r="L22" s="4">
        <f t="shared" si="2"/>
        <v>1307426</v>
      </c>
      <c r="M22" s="4">
        <f>P22+S22-150000+100000</f>
        <v>142574</v>
      </c>
      <c r="N22" s="4">
        <f>400000+150000-150000</f>
        <v>400000</v>
      </c>
      <c r="O22" s="4">
        <f t="shared" si="3"/>
        <v>350000</v>
      </c>
      <c r="P22" s="4">
        <f t="shared" si="4"/>
        <v>192574</v>
      </c>
      <c r="Q22" s="4"/>
      <c r="R22" s="4"/>
      <c r="S22" s="4">
        <f t="shared" si="5"/>
        <v>0</v>
      </c>
      <c r="T22" s="4">
        <v>50000</v>
      </c>
      <c r="U22" s="4">
        <v>350000</v>
      </c>
      <c r="V22" s="4">
        <v>350000</v>
      </c>
      <c r="W22" s="4"/>
      <c r="X22" s="4"/>
      <c r="Y22" s="4"/>
      <c r="Z22" s="4"/>
      <c r="AA22" s="3"/>
      <c r="AB22" s="3" t="s">
        <v>557</v>
      </c>
      <c r="AC22" s="3">
        <v>732000</v>
      </c>
      <c r="AD22" s="335"/>
      <c r="AE22" s="335"/>
      <c r="AF22" s="335"/>
      <c r="AG22" s="335"/>
      <c r="AH22" s="4">
        <v>100000</v>
      </c>
      <c r="AI22" s="4"/>
      <c r="AJ22" s="4"/>
      <c r="AK22" s="4"/>
      <c r="AL22" s="4"/>
      <c r="AM22" s="154">
        <v>100000</v>
      </c>
      <c r="AN22" s="4">
        <v>250000</v>
      </c>
      <c r="AO22" s="4">
        <v>100000</v>
      </c>
      <c r="AP22" s="335"/>
      <c r="AQ22" s="335"/>
      <c r="AR22" s="335"/>
      <c r="AS22" s="335"/>
      <c r="AT22" s="335"/>
      <c r="AU22" s="4">
        <f t="shared" si="6"/>
        <v>0</v>
      </c>
      <c r="AV22" s="335"/>
      <c r="AW22" s="335"/>
      <c r="AX22" s="335"/>
      <c r="AY22" s="335"/>
      <c r="AZ22" s="335"/>
      <c r="BA22" s="299"/>
      <c r="BB22" s="299"/>
      <c r="BC22" s="299"/>
      <c r="BD22" s="299"/>
      <c r="BE22" s="299"/>
      <c r="BF22" s="299"/>
      <c r="BG22" s="299"/>
    </row>
    <row r="23" spans="1:59" s="5" customFormat="1" ht="31.95" customHeight="1">
      <c r="A23" s="3">
        <f t="shared" si="7"/>
        <v>19</v>
      </c>
      <c r="B23" s="3">
        <v>1511</v>
      </c>
      <c r="C23" s="3" t="s">
        <v>37</v>
      </c>
      <c r="D23" s="4">
        <v>960000</v>
      </c>
      <c r="E23" s="4">
        <v>960000</v>
      </c>
      <c r="F23" s="4">
        <f t="shared" si="0"/>
        <v>0</v>
      </c>
      <c r="G23" s="4">
        <v>100000</v>
      </c>
      <c r="H23" s="4">
        <v>17284</v>
      </c>
      <c r="I23" s="4">
        <v>0</v>
      </c>
      <c r="J23" s="4">
        <v>0</v>
      </c>
      <c r="K23" s="4">
        <f t="shared" si="1"/>
        <v>0</v>
      </c>
      <c r="L23" s="4">
        <f t="shared" si="2"/>
        <v>17284</v>
      </c>
      <c r="M23" s="4">
        <f>P23+S23</f>
        <v>82716</v>
      </c>
      <c r="N23" s="4"/>
      <c r="O23" s="4">
        <f t="shared" si="3"/>
        <v>860000</v>
      </c>
      <c r="P23" s="4">
        <f t="shared" si="4"/>
        <v>82716</v>
      </c>
      <c r="Q23" s="4"/>
      <c r="R23" s="4"/>
      <c r="S23" s="4">
        <f t="shared" si="5"/>
        <v>0</v>
      </c>
      <c r="T23" s="4">
        <v>0</v>
      </c>
      <c r="U23" s="4">
        <v>0</v>
      </c>
      <c r="V23" s="4">
        <v>0</v>
      </c>
      <c r="W23" s="4"/>
      <c r="X23" s="4"/>
      <c r="Y23" s="4"/>
      <c r="Z23" s="4"/>
      <c r="AA23" s="3"/>
      <c r="AB23" s="3" t="s">
        <v>472</v>
      </c>
      <c r="AC23" s="3">
        <v>742000</v>
      </c>
      <c r="AD23" s="335"/>
      <c r="AE23" s="335"/>
      <c r="AF23" s="335"/>
      <c r="AG23" s="335"/>
      <c r="AH23" s="4"/>
      <c r="AI23" s="4"/>
      <c r="AJ23" s="4"/>
      <c r="AK23" s="4"/>
      <c r="AL23" s="4"/>
      <c r="AM23" s="154">
        <v>0</v>
      </c>
      <c r="AN23" s="4">
        <v>0</v>
      </c>
      <c r="AO23" s="4">
        <v>0</v>
      </c>
      <c r="AP23" s="335"/>
      <c r="AQ23" s="335"/>
      <c r="AR23" s="335"/>
      <c r="AS23" s="335"/>
      <c r="AT23" s="335"/>
      <c r="AU23" s="4">
        <f t="shared" si="6"/>
        <v>0</v>
      </c>
      <c r="AV23" s="335"/>
      <c r="AW23" s="335"/>
      <c r="AX23" s="335"/>
      <c r="AY23" s="335"/>
      <c r="AZ23" s="335"/>
      <c r="BA23" s="299"/>
      <c r="BB23" s="299"/>
      <c r="BC23" s="299"/>
      <c r="BD23" s="299"/>
      <c r="BE23" s="299"/>
      <c r="BF23" s="299"/>
      <c r="BG23" s="299"/>
    </row>
    <row r="24" spans="1:59" s="5" customFormat="1" ht="31.95" customHeight="1">
      <c r="A24" s="3">
        <f t="shared" si="7"/>
        <v>20</v>
      </c>
      <c r="B24" s="3">
        <v>1527</v>
      </c>
      <c r="C24" s="3" t="s">
        <v>686</v>
      </c>
      <c r="D24" s="4">
        <v>3000000</v>
      </c>
      <c r="E24" s="4">
        <v>3000000</v>
      </c>
      <c r="F24" s="4">
        <f t="shared" si="0"/>
        <v>0</v>
      </c>
      <c r="G24" s="4">
        <v>1200000</v>
      </c>
      <c r="H24" s="4">
        <v>821144</v>
      </c>
      <c r="I24" s="4">
        <v>0</v>
      </c>
      <c r="J24" s="4">
        <v>116813</v>
      </c>
      <c r="K24" s="4">
        <f t="shared" si="1"/>
        <v>116813</v>
      </c>
      <c r="L24" s="4">
        <f t="shared" si="2"/>
        <v>937957</v>
      </c>
      <c r="M24" s="4">
        <f>P24+S24-250000</f>
        <v>12043</v>
      </c>
      <c r="N24" s="4">
        <f>250000-50000</f>
        <v>200000</v>
      </c>
      <c r="O24" s="4">
        <f t="shared" si="3"/>
        <v>1850000</v>
      </c>
      <c r="P24" s="4">
        <f t="shared" si="4"/>
        <v>262043</v>
      </c>
      <c r="Q24" s="4"/>
      <c r="R24" s="4"/>
      <c r="S24" s="4">
        <f t="shared" si="5"/>
        <v>0</v>
      </c>
      <c r="T24" s="4">
        <v>250000</v>
      </c>
      <c r="U24" s="4">
        <v>-50000</v>
      </c>
      <c r="V24" s="4">
        <v>-50000</v>
      </c>
      <c r="W24" s="4"/>
      <c r="X24" s="4"/>
      <c r="Y24" s="4"/>
      <c r="Z24" s="4"/>
      <c r="AA24" s="3"/>
      <c r="AB24" s="3" t="s">
        <v>1487</v>
      </c>
      <c r="AC24" s="3">
        <v>732000</v>
      </c>
      <c r="AD24" s="335"/>
      <c r="AE24" s="335"/>
      <c r="AF24" s="335"/>
      <c r="AG24" s="4">
        <v>-50000</v>
      </c>
      <c r="AH24" s="4"/>
      <c r="AI24" s="4"/>
      <c r="AJ24" s="4"/>
      <c r="AK24" s="4"/>
      <c r="AL24" s="4"/>
      <c r="AM24" s="154">
        <v>-50000</v>
      </c>
      <c r="AN24" s="4">
        <v>0</v>
      </c>
      <c r="AO24" s="4">
        <v>-50000</v>
      </c>
      <c r="AP24" s="335"/>
      <c r="AQ24" s="335"/>
      <c r="AR24" s="335"/>
      <c r="AS24" s="335"/>
      <c r="AT24" s="335"/>
      <c r="AU24" s="4">
        <f t="shared" si="6"/>
        <v>0</v>
      </c>
      <c r="AV24" s="335"/>
      <c r="AW24" s="335"/>
      <c r="AX24" s="335"/>
      <c r="AY24" s="335"/>
      <c r="AZ24" s="335"/>
      <c r="BA24" s="299"/>
      <c r="BB24" s="299"/>
      <c r="BC24" s="299"/>
      <c r="BD24" s="299"/>
      <c r="BE24" s="299"/>
      <c r="BF24" s="299"/>
      <c r="BG24" s="299"/>
    </row>
    <row r="25" spans="1:59" s="5" customFormat="1" ht="31.95" customHeight="1">
      <c r="A25" s="3">
        <f t="shared" si="7"/>
        <v>21</v>
      </c>
      <c r="B25" s="3">
        <v>1529</v>
      </c>
      <c r="C25" s="3" t="s">
        <v>44</v>
      </c>
      <c r="D25" s="4">
        <f>500000+150000+50000</f>
        <v>700000</v>
      </c>
      <c r="E25" s="4">
        <v>500000</v>
      </c>
      <c r="F25" s="4">
        <f t="shared" si="0"/>
        <v>200000</v>
      </c>
      <c r="G25" s="4">
        <v>500000</v>
      </c>
      <c r="H25" s="4">
        <v>379082</v>
      </c>
      <c r="I25" s="4">
        <v>0</v>
      </c>
      <c r="J25" s="4">
        <v>95523</v>
      </c>
      <c r="K25" s="4">
        <f t="shared" si="1"/>
        <v>95523</v>
      </c>
      <c r="L25" s="4">
        <f t="shared" si="2"/>
        <v>474605</v>
      </c>
      <c r="M25" s="4">
        <f>P25+S25-50000+50000</f>
        <v>25395</v>
      </c>
      <c r="N25" s="4">
        <v>200000</v>
      </c>
      <c r="O25" s="4">
        <f t="shared" si="3"/>
        <v>0</v>
      </c>
      <c r="P25" s="4">
        <f t="shared" si="4"/>
        <v>25395</v>
      </c>
      <c r="Q25" s="4"/>
      <c r="R25" s="4"/>
      <c r="S25" s="4">
        <f t="shared" si="5"/>
        <v>0</v>
      </c>
      <c r="T25" s="4">
        <v>0</v>
      </c>
      <c r="U25" s="4">
        <v>200000</v>
      </c>
      <c r="V25" s="4">
        <v>200000</v>
      </c>
      <c r="W25" s="4"/>
      <c r="X25" s="4"/>
      <c r="Y25" s="4"/>
      <c r="Z25" s="4"/>
      <c r="AA25" s="3"/>
      <c r="AB25" s="3" t="s">
        <v>325</v>
      </c>
      <c r="AC25" s="3">
        <v>760000</v>
      </c>
      <c r="AD25" s="335"/>
      <c r="AE25" s="335"/>
      <c r="AF25" s="335"/>
      <c r="AG25" s="335"/>
      <c r="AH25" s="335"/>
      <c r="AI25" s="335"/>
      <c r="AJ25" s="335"/>
      <c r="AK25" s="335"/>
      <c r="AL25" s="335"/>
      <c r="AM25" s="154">
        <v>0</v>
      </c>
      <c r="AN25" s="4">
        <v>200000</v>
      </c>
      <c r="AO25" s="4">
        <v>0</v>
      </c>
      <c r="AP25" s="335"/>
      <c r="AQ25" s="335"/>
      <c r="AR25" s="335"/>
      <c r="AS25" s="335"/>
      <c r="AT25" s="335"/>
      <c r="AU25" s="4">
        <f t="shared" si="6"/>
        <v>0</v>
      </c>
      <c r="AV25" s="335"/>
      <c r="AW25" s="335"/>
      <c r="AX25" s="335"/>
      <c r="AY25" s="335"/>
      <c r="AZ25" s="335"/>
      <c r="BA25" s="299"/>
      <c r="BB25" s="299"/>
      <c r="BC25" s="299"/>
      <c r="BD25" s="299"/>
      <c r="BE25" s="299"/>
      <c r="BF25" s="299"/>
      <c r="BG25" s="299"/>
    </row>
    <row r="26" spans="1:59" s="5" customFormat="1" ht="31.95" customHeight="1">
      <c r="A26" s="3">
        <f t="shared" si="7"/>
        <v>22</v>
      </c>
      <c r="B26" s="3">
        <v>1551</v>
      </c>
      <c r="C26" s="3" t="s">
        <v>93</v>
      </c>
      <c r="D26" s="4">
        <v>525240</v>
      </c>
      <c r="E26" s="4">
        <v>525240</v>
      </c>
      <c r="F26" s="4">
        <f t="shared" si="0"/>
        <v>0</v>
      </c>
      <c r="G26" s="4">
        <v>375240</v>
      </c>
      <c r="H26" s="4">
        <v>225965</v>
      </c>
      <c r="I26" s="4">
        <v>18729</v>
      </c>
      <c r="J26" s="4">
        <v>0</v>
      </c>
      <c r="K26" s="4">
        <f t="shared" si="1"/>
        <v>18729</v>
      </c>
      <c r="L26" s="4">
        <f t="shared" si="2"/>
        <v>244694</v>
      </c>
      <c r="M26" s="4">
        <f>P26+S26-100000</f>
        <v>30546</v>
      </c>
      <c r="N26" s="4">
        <f>100000</f>
        <v>100000</v>
      </c>
      <c r="O26" s="4">
        <f t="shared" si="3"/>
        <v>150000</v>
      </c>
      <c r="P26" s="4">
        <f t="shared" si="4"/>
        <v>130546</v>
      </c>
      <c r="Q26" s="4"/>
      <c r="R26" s="4"/>
      <c r="S26" s="4">
        <f t="shared" si="5"/>
        <v>0</v>
      </c>
      <c r="T26" s="4">
        <v>100000</v>
      </c>
      <c r="U26" s="4">
        <v>0</v>
      </c>
      <c r="V26" s="4">
        <v>0</v>
      </c>
      <c r="W26" s="4"/>
      <c r="X26" s="4"/>
      <c r="Y26" s="4"/>
      <c r="Z26" s="4"/>
      <c r="AA26" s="3"/>
      <c r="AB26" s="3" t="s">
        <v>554</v>
      </c>
      <c r="AC26" s="3">
        <v>732000</v>
      </c>
      <c r="AD26" s="335"/>
      <c r="AE26" s="335"/>
      <c r="AF26" s="335"/>
      <c r="AG26" s="335"/>
      <c r="AH26" s="335"/>
      <c r="AI26" s="335"/>
      <c r="AJ26" s="335"/>
      <c r="AK26" s="335"/>
      <c r="AL26" s="335"/>
      <c r="AM26" s="154">
        <v>0</v>
      </c>
      <c r="AN26" s="4">
        <v>0</v>
      </c>
      <c r="AO26" s="4">
        <v>0</v>
      </c>
      <c r="AP26" s="335"/>
      <c r="AQ26" s="335"/>
      <c r="AR26" s="335"/>
      <c r="AS26" s="335"/>
      <c r="AT26" s="335"/>
      <c r="AU26" s="4">
        <f t="shared" si="6"/>
        <v>0</v>
      </c>
      <c r="AV26" s="335"/>
      <c r="AW26" s="335"/>
      <c r="AX26" s="335"/>
      <c r="AY26" s="335"/>
      <c r="AZ26" s="335"/>
      <c r="BA26" s="299"/>
      <c r="BB26" s="299"/>
      <c r="BC26" s="299"/>
      <c r="BD26" s="299"/>
      <c r="BE26" s="299"/>
      <c r="BF26" s="299"/>
      <c r="BG26" s="299"/>
    </row>
    <row r="27" spans="1:59" s="6" customFormat="1" ht="31.95" customHeight="1">
      <c r="A27" s="3">
        <f t="shared" si="7"/>
        <v>23</v>
      </c>
      <c r="B27" s="3">
        <v>1568</v>
      </c>
      <c r="C27" s="3" t="s">
        <v>45</v>
      </c>
      <c r="D27" s="4">
        <v>46375301</v>
      </c>
      <c r="E27" s="4">
        <v>46375301</v>
      </c>
      <c r="F27" s="4">
        <f t="shared" si="0"/>
        <v>0</v>
      </c>
      <c r="G27" s="4">
        <v>28625301</v>
      </c>
      <c r="H27" s="4">
        <v>27779038</v>
      </c>
      <c r="I27" s="4">
        <v>201679</v>
      </c>
      <c r="J27" s="4">
        <v>33946</v>
      </c>
      <c r="K27" s="4">
        <f t="shared" si="1"/>
        <v>235625</v>
      </c>
      <c r="L27" s="4">
        <f t="shared" si="2"/>
        <v>28014663</v>
      </c>
      <c r="M27" s="4">
        <f>P27+S27-600000</f>
        <v>10638</v>
      </c>
      <c r="N27" s="4">
        <v>600000</v>
      </c>
      <c r="O27" s="4">
        <f t="shared" si="3"/>
        <v>17750000</v>
      </c>
      <c r="P27" s="4">
        <f t="shared" si="4"/>
        <v>610638</v>
      </c>
      <c r="Q27" s="4"/>
      <c r="R27" s="4"/>
      <c r="S27" s="4">
        <f t="shared" si="5"/>
        <v>0</v>
      </c>
      <c r="T27" s="4">
        <v>600000</v>
      </c>
      <c r="U27" s="4">
        <v>0</v>
      </c>
      <c r="V27" s="4">
        <v>0</v>
      </c>
      <c r="W27" s="4"/>
      <c r="X27" s="4"/>
      <c r="Y27" s="4"/>
      <c r="Z27" s="4"/>
      <c r="AA27" s="3"/>
      <c r="AB27" s="3" t="s">
        <v>772</v>
      </c>
      <c r="AC27" s="3">
        <v>746000</v>
      </c>
      <c r="AD27" s="335"/>
      <c r="AE27" s="335"/>
      <c r="AF27" s="335"/>
      <c r="AG27" s="335"/>
      <c r="AH27" s="335"/>
      <c r="AI27" s="335"/>
      <c r="AJ27" s="335"/>
      <c r="AK27" s="335"/>
      <c r="AL27" s="335"/>
      <c r="AM27" s="154">
        <v>0</v>
      </c>
      <c r="AN27" s="4">
        <v>0</v>
      </c>
      <c r="AO27" s="4">
        <v>0</v>
      </c>
      <c r="AP27" s="335"/>
      <c r="AQ27" s="335"/>
      <c r="AR27" s="335"/>
      <c r="AS27" s="335"/>
      <c r="AT27" s="335"/>
      <c r="AU27" s="4">
        <f t="shared" si="6"/>
        <v>0</v>
      </c>
      <c r="AV27" s="335"/>
      <c r="AW27" s="335"/>
      <c r="AX27" s="335"/>
      <c r="AY27" s="335"/>
      <c r="AZ27" s="335"/>
      <c r="BA27" s="299"/>
      <c r="BB27" s="299"/>
      <c r="BC27" s="299"/>
      <c r="BD27" s="299"/>
      <c r="BE27" s="299"/>
      <c r="BF27" s="299"/>
      <c r="BG27" s="299"/>
    </row>
    <row r="28" spans="1:59" s="5" customFormat="1" ht="31.95" customHeight="1">
      <c r="A28" s="3">
        <f t="shared" si="7"/>
        <v>24</v>
      </c>
      <c r="B28" s="3">
        <v>1576</v>
      </c>
      <c r="C28" s="3" t="s">
        <v>46</v>
      </c>
      <c r="D28" s="4">
        <v>1000000</v>
      </c>
      <c r="E28" s="4">
        <v>1000000</v>
      </c>
      <c r="F28" s="4">
        <f t="shared" si="0"/>
        <v>0</v>
      </c>
      <c r="G28" s="4">
        <v>450000</v>
      </c>
      <c r="H28" s="4">
        <v>376310</v>
      </c>
      <c r="I28" s="4">
        <v>0</v>
      </c>
      <c r="J28" s="4">
        <v>0</v>
      </c>
      <c r="K28" s="4">
        <f t="shared" si="1"/>
        <v>0</v>
      </c>
      <c r="L28" s="4">
        <f t="shared" si="2"/>
        <v>376310</v>
      </c>
      <c r="M28" s="4">
        <f>P28+S28-50000</f>
        <v>23690</v>
      </c>
      <c r="N28" s="4">
        <v>50000</v>
      </c>
      <c r="O28" s="4">
        <f t="shared" si="3"/>
        <v>550000</v>
      </c>
      <c r="P28" s="4">
        <f t="shared" si="4"/>
        <v>73690</v>
      </c>
      <c r="Q28" s="4"/>
      <c r="R28" s="4"/>
      <c r="S28" s="4">
        <f t="shared" si="5"/>
        <v>0</v>
      </c>
      <c r="T28" s="4">
        <v>50000</v>
      </c>
      <c r="U28" s="4">
        <v>0</v>
      </c>
      <c r="V28" s="4">
        <v>0</v>
      </c>
      <c r="W28" s="4"/>
      <c r="X28" s="4"/>
      <c r="Y28" s="4"/>
      <c r="Z28" s="4"/>
      <c r="AA28" s="3"/>
      <c r="AB28" s="3" t="s">
        <v>341</v>
      </c>
      <c r="AC28" s="3">
        <v>732000</v>
      </c>
      <c r="AD28" s="335"/>
      <c r="AE28" s="335"/>
      <c r="AF28" s="335"/>
      <c r="AG28" s="335"/>
      <c r="AH28" s="335"/>
      <c r="AI28" s="335"/>
      <c r="AJ28" s="335"/>
      <c r="AK28" s="335"/>
      <c r="AL28" s="335"/>
      <c r="AM28" s="154">
        <v>0</v>
      </c>
      <c r="AN28" s="4">
        <v>0</v>
      </c>
      <c r="AO28" s="4">
        <v>0</v>
      </c>
      <c r="AP28" s="335"/>
      <c r="AQ28" s="335"/>
      <c r="AR28" s="335"/>
      <c r="AS28" s="335"/>
      <c r="AT28" s="335"/>
      <c r="AU28" s="4">
        <f t="shared" si="6"/>
        <v>0</v>
      </c>
      <c r="AV28" s="335"/>
      <c r="AW28" s="335"/>
      <c r="AX28" s="335"/>
      <c r="AY28" s="335"/>
      <c r="AZ28" s="335"/>
      <c r="BA28" s="299"/>
      <c r="BB28" s="299"/>
      <c r="BC28" s="299"/>
      <c r="BD28" s="299"/>
      <c r="BE28" s="299"/>
      <c r="BF28" s="299"/>
      <c r="BG28" s="299"/>
    </row>
    <row r="29" spans="1:59" s="6" customFormat="1" ht="31.95" customHeight="1">
      <c r="A29" s="3">
        <f t="shared" si="7"/>
        <v>25</v>
      </c>
      <c r="B29" s="3">
        <v>1587</v>
      </c>
      <c r="C29" s="3" t="s">
        <v>94</v>
      </c>
      <c r="D29" s="4">
        <v>34200000</v>
      </c>
      <c r="E29" s="4">
        <v>34200000</v>
      </c>
      <c r="F29" s="4">
        <f t="shared" si="0"/>
        <v>0</v>
      </c>
      <c r="G29" s="4">
        <v>12550000</v>
      </c>
      <c r="H29" s="4">
        <v>9735645</v>
      </c>
      <c r="I29" s="4">
        <v>1089975</v>
      </c>
      <c r="J29" s="4">
        <v>252573</v>
      </c>
      <c r="K29" s="4">
        <f t="shared" si="1"/>
        <v>1342548</v>
      </c>
      <c r="L29" s="4">
        <f t="shared" si="2"/>
        <v>11078193</v>
      </c>
      <c r="M29" s="4">
        <f>P29+S29-1400000+100000</f>
        <v>171807</v>
      </c>
      <c r="N29" s="4">
        <f>10000000-9000000+1300000-200000</f>
        <v>2100000</v>
      </c>
      <c r="O29" s="4">
        <f t="shared" si="3"/>
        <v>20850000</v>
      </c>
      <c r="P29" s="4">
        <f t="shared" si="4"/>
        <v>1471807</v>
      </c>
      <c r="Q29" s="4"/>
      <c r="R29" s="4"/>
      <c r="S29" s="4">
        <f t="shared" si="5"/>
        <v>0</v>
      </c>
      <c r="T29" s="4">
        <v>1300000</v>
      </c>
      <c r="U29" s="4">
        <v>800000</v>
      </c>
      <c r="V29" s="4">
        <v>800000</v>
      </c>
      <c r="W29" s="4"/>
      <c r="X29" s="4"/>
      <c r="Y29" s="4"/>
      <c r="Z29" s="4"/>
      <c r="AA29" s="3"/>
      <c r="AB29" s="3" t="s">
        <v>966</v>
      </c>
      <c r="AC29" s="3">
        <v>742000</v>
      </c>
      <c r="AD29" s="335"/>
      <c r="AE29" s="335"/>
      <c r="AF29" s="335"/>
      <c r="AG29" s="335"/>
      <c r="AH29" s="335"/>
      <c r="AI29" s="335"/>
      <c r="AJ29" s="335"/>
      <c r="AK29" s="335"/>
      <c r="AL29" s="435">
        <v>160000</v>
      </c>
      <c r="AM29" s="154">
        <v>160000</v>
      </c>
      <c r="AN29" s="4">
        <v>640000</v>
      </c>
      <c r="AO29" s="4">
        <v>160000</v>
      </c>
      <c r="AP29" s="335"/>
      <c r="AQ29" s="335"/>
      <c r="AR29" s="335"/>
      <c r="AS29" s="335"/>
      <c r="AT29" s="335"/>
      <c r="AU29" s="4">
        <f t="shared" si="6"/>
        <v>160000</v>
      </c>
      <c r="AV29" s="335"/>
      <c r="AW29" s="335"/>
      <c r="AX29" s="335"/>
      <c r="AY29" s="335"/>
      <c r="AZ29" s="335"/>
      <c r="BA29" s="299"/>
      <c r="BB29" s="299"/>
      <c r="BC29" s="299"/>
      <c r="BD29" s="299"/>
      <c r="BE29" s="299"/>
      <c r="BF29" s="299"/>
      <c r="BG29" s="299"/>
    </row>
    <row r="30" spans="1:59" s="5" customFormat="1" ht="31.95" customHeight="1">
      <c r="A30" s="3">
        <f t="shared" si="7"/>
        <v>26</v>
      </c>
      <c r="B30" s="3">
        <v>1601</v>
      </c>
      <c r="C30" s="3" t="s">
        <v>38</v>
      </c>
      <c r="D30" s="4">
        <v>700000</v>
      </c>
      <c r="E30" s="4">
        <v>700000</v>
      </c>
      <c r="F30" s="4">
        <f t="shared" si="0"/>
        <v>0</v>
      </c>
      <c r="G30" s="4">
        <v>650000</v>
      </c>
      <c r="H30" s="4">
        <v>538227</v>
      </c>
      <c r="I30" s="4">
        <v>0</v>
      </c>
      <c r="J30" s="4">
        <v>0</v>
      </c>
      <c r="K30" s="4">
        <f t="shared" si="1"/>
        <v>0</v>
      </c>
      <c r="L30" s="4">
        <f t="shared" si="2"/>
        <v>538227</v>
      </c>
      <c r="M30" s="4">
        <f>P30+S30-100000</f>
        <v>11773</v>
      </c>
      <c r="N30" s="4">
        <v>100000</v>
      </c>
      <c r="O30" s="4">
        <f t="shared" si="3"/>
        <v>50000</v>
      </c>
      <c r="P30" s="4">
        <f t="shared" si="4"/>
        <v>111773</v>
      </c>
      <c r="Q30" s="4"/>
      <c r="R30" s="4"/>
      <c r="S30" s="4">
        <f t="shared" si="5"/>
        <v>0</v>
      </c>
      <c r="T30" s="4">
        <v>100000</v>
      </c>
      <c r="U30" s="4">
        <v>0</v>
      </c>
      <c r="V30" s="4">
        <v>0</v>
      </c>
      <c r="W30" s="4"/>
      <c r="X30" s="4"/>
      <c r="Y30" s="4"/>
      <c r="Z30" s="4"/>
      <c r="AA30" s="3"/>
      <c r="AB30" s="3" t="s">
        <v>611</v>
      </c>
      <c r="AC30" s="3">
        <v>742000</v>
      </c>
      <c r="AD30" s="335"/>
      <c r="AE30" s="335"/>
      <c r="AF30" s="335"/>
      <c r="AG30" s="335"/>
      <c r="AH30" s="335"/>
      <c r="AI30" s="335"/>
      <c r="AJ30" s="335"/>
      <c r="AK30" s="335"/>
      <c r="AL30" s="335"/>
      <c r="AM30" s="154">
        <v>0</v>
      </c>
      <c r="AN30" s="4">
        <v>0</v>
      </c>
      <c r="AO30" s="4">
        <v>0</v>
      </c>
      <c r="AP30" s="335"/>
      <c r="AQ30" s="335"/>
      <c r="AR30" s="335"/>
      <c r="AS30" s="335"/>
      <c r="AT30" s="335"/>
      <c r="AU30" s="4">
        <f t="shared" si="6"/>
        <v>0</v>
      </c>
      <c r="AV30" s="335"/>
      <c r="AW30" s="335"/>
      <c r="AX30" s="335"/>
      <c r="AY30" s="335"/>
      <c r="AZ30" s="335"/>
      <c r="BA30" s="299"/>
      <c r="BB30" s="299"/>
      <c r="BC30" s="299"/>
      <c r="BD30" s="299"/>
      <c r="BE30" s="299"/>
      <c r="BF30" s="299"/>
      <c r="BG30" s="299"/>
    </row>
    <row r="31" spans="1:59" s="5" customFormat="1" ht="31.95" customHeight="1">
      <c r="A31" s="3">
        <f t="shared" si="7"/>
        <v>27</v>
      </c>
      <c r="B31" s="3">
        <v>1602</v>
      </c>
      <c r="C31" s="3" t="s">
        <v>26</v>
      </c>
      <c r="D31" s="4">
        <f>32000000-1000000</f>
        <v>31000000</v>
      </c>
      <c r="E31" s="4">
        <v>32000000</v>
      </c>
      <c r="F31" s="4">
        <f t="shared" si="0"/>
        <v>-1000000</v>
      </c>
      <c r="G31" s="4">
        <f>32500000-500000</f>
        <v>32000000</v>
      </c>
      <c r="H31" s="4">
        <v>30452036</v>
      </c>
      <c r="I31" s="4">
        <v>0</v>
      </c>
      <c r="J31" s="4">
        <v>4829</v>
      </c>
      <c r="K31" s="4">
        <f t="shared" si="1"/>
        <v>4829</v>
      </c>
      <c r="L31" s="4">
        <f t="shared" si="2"/>
        <v>30456865</v>
      </c>
      <c r="M31" s="4">
        <f>P31+S31-2000000+500000</f>
        <v>43135</v>
      </c>
      <c r="N31" s="4">
        <v>500000</v>
      </c>
      <c r="O31" s="4">
        <f t="shared" si="3"/>
        <v>0</v>
      </c>
      <c r="P31" s="4">
        <f t="shared" si="4"/>
        <v>1543135</v>
      </c>
      <c r="Q31" s="4"/>
      <c r="R31" s="4"/>
      <c r="S31" s="4">
        <f t="shared" si="5"/>
        <v>0</v>
      </c>
      <c r="T31" s="4">
        <v>1500000</v>
      </c>
      <c r="U31" s="4">
        <v>-1000000</v>
      </c>
      <c r="V31" s="4">
        <v>-1000000</v>
      </c>
      <c r="W31" s="4"/>
      <c r="X31" s="4"/>
      <c r="Y31" s="4"/>
      <c r="Z31" s="4"/>
      <c r="AA31" s="3"/>
      <c r="AB31" s="3" t="s">
        <v>647</v>
      </c>
      <c r="AC31" s="3">
        <v>742000</v>
      </c>
      <c r="AD31" s="335"/>
      <c r="AE31" s="335"/>
      <c r="AF31" s="335"/>
      <c r="AG31" s="4">
        <v>-1000000</v>
      </c>
      <c r="AH31" s="4"/>
      <c r="AI31" s="4"/>
      <c r="AJ31" s="4">
        <v>630502</v>
      </c>
      <c r="AK31" s="335"/>
      <c r="AL31" s="335"/>
      <c r="AM31" s="154">
        <v>-369498</v>
      </c>
      <c r="AN31" s="4">
        <v>-630502</v>
      </c>
      <c r="AO31" s="4">
        <v>-369498</v>
      </c>
      <c r="AP31" s="335"/>
      <c r="AQ31" s="335"/>
      <c r="AR31" s="335"/>
      <c r="AS31" s="335"/>
      <c r="AT31" s="335"/>
      <c r="AU31" s="4">
        <f t="shared" si="6"/>
        <v>0</v>
      </c>
      <c r="AV31" s="335"/>
      <c r="AW31" s="335"/>
      <c r="AX31" s="335"/>
      <c r="AY31" s="335"/>
      <c r="AZ31" s="335"/>
      <c r="BA31" s="299"/>
      <c r="BB31" s="299"/>
      <c r="BC31" s="299"/>
      <c r="BD31" s="299"/>
      <c r="BE31" s="299"/>
      <c r="BF31" s="299"/>
      <c r="BG31" s="299"/>
    </row>
    <row r="32" spans="1:59" s="5" customFormat="1" ht="31.95" customHeight="1">
      <c r="A32" s="3">
        <f t="shared" si="7"/>
        <v>28</v>
      </c>
      <c r="B32" s="3">
        <v>1620</v>
      </c>
      <c r="C32" s="28" t="s">
        <v>416</v>
      </c>
      <c r="D32" s="4">
        <v>1000000</v>
      </c>
      <c r="E32" s="4">
        <v>1000000</v>
      </c>
      <c r="F32" s="4">
        <f t="shared" si="0"/>
        <v>0</v>
      </c>
      <c r="G32" s="4">
        <v>300000</v>
      </c>
      <c r="H32" s="4">
        <v>0</v>
      </c>
      <c r="I32" s="4">
        <v>0</v>
      </c>
      <c r="J32" s="4">
        <v>0</v>
      </c>
      <c r="K32" s="4">
        <f t="shared" si="1"/>
        <v>0</v>
      </c>
      <c r="L32" s="4">
        <f t="shared" si="2"/>
        <v>0</v>
      </c>
      <c r="M32" s="4">
        <f>P32+S32-300000</f>
        <v>0</v>
      </c>
      <c r="N32" s="4">
        <f>300000-200000</f>
        <v>100000</v>
      </c>
      <c r="O32" s="4">
        <f t="shared" si="3"/>
        <v>900000</v>
      </c>
      <c r="P32" s="4">
        <f t="shared" si="4"/>
        <v>300000</v>
      </c>
      <c r="Q32" s="4"/>
      <c r="R32" s="4"/>
      <c r="S32" s="4">
        <f t="shared" si="5"/>
        <v>0</v>
      </c>
      <c r="T32" s="4">
        <v>300000</v>
      </c>
      <c r="U32" s="4">
        <v>-200000</v>
      </c>
      <c r="V32" s="4">
        <v>-200000</v>
      </c>
      <c r="W32" s="4"/>
      <c r="X32" s="4"/>
      <c r="Y32" s="4"/>
      <c r="Z32" s="4"/>
      <c r="AA32" s="3"/>
      <c r="AB32" s="3" t="s">
        <v>393</v>
      </c>
      <c r="AC32" s="3">
        <v>732000</v>
      </c>
      <c r="AD32" s="335"/>
      <c r="AE32" s="335"/>
      <c r="AF32" s="335"/>
      <c r="AG32" s="4">
        <v>-200000</v>
      </c>
      <c r="AH32" s="4"/>
      <c r="AI32" s="4"/>
      <c r="AJ32" s="4"/>
      <c r="AK32" s="4"/>
      <c r="AL32" s="4"/>
      <c r="AM32" s="154">
        <v>-200000</v>
      </c>
      <c r="AN32" s="4">
        <v>0</v>
      </c>
      <c r="AO32" s="4">
        <v>-200000</v>
      </c>
      <c r="AP32" s="335"/>
      <c r="AQ32" s="335"/>
      <c r="AR32" s="335"/>
      <c r="AS32" s="335"/>
      <c r="AT32" s="335"/>
      <c r="AU32" s="4">
        <f t="shared" si="6"/>
        <v>0</v>
      </c>
      <c r="AV32" s="335"/>
      <c r="AW32" s="335"/>
      <c r="AX32" s="335"/>
      <c r="AY32" s="335"/>
      <c r="AZ32" s="335"/>
      <c r="BA32" s="299"/>
      <c r="BB32" s="299"/>
      <c r="BC32" s="299"/>
      <c r="BD32" s="299"/>
      <c r="BE32" s="299"/>
      <c r="BF32" s="299"/>
      <c r="BG32" s="299"/>
    </row>
    <row r="33" spans="1:59" s="6" customFormat="1" ht="31.95" customHeight="1">
      <c r="A33" s="3">
        <f t="shared" si="7"/>
        <v>29</v>
      </c>
      <c r="B33" s="3">
        <v>1660</v>
      </c>
      <c r="C33" s="3" t="s">
        <v>20</v>
      </c>
      <c r="D33" s="4">
        <v>2000000</v>
      </c>
      <c r="E33" s="4">
        <v>2000000</v>
      </c>
      <c r="F33" s="4">
        <f t="shared" si="0"/>
        <v>0</v>
      </c>
      <c r="G33" s="4">
        <v>1100000</v>
      </c>
      <c r="H33" s="4">
        <v>163894</v>
      </c>
      <c r="I33" s="4">
        <v>284310</v>
      </c>
      <c r="J33" s="4">
        <v>142597</v>
      </c>
      <c r="K33" s="4">
        <f t="shared" si="1"/>
        <v>426907</v>
      </c>
      <c r="L33" s="4">
        <f t="shared" si="2"/>
        <v>590801</v>
      </c>
      <c r="M33" s="4">
        <f>P33+S33-500000+200000</f>
        <v>209199</v>
      </c>
      <c r="N33" s="4">
        <f>500000-100000</f>
        <v>400000</v>
      </c>
      <c r="O33" s="4">
        <f t="shared" si="3"/>
        <v>800000</v>
      </c>
      <c r="P33" s="4">
        <f t="shared" si="4"/>
        <v>509199</v>
      </c>
      <c r="Q33" s="4"/>
      <c r="R33" s="4"/>
      <c r="S33" s="4">
        <f t="shared" si="5"/>
        <v>0</v>
      </c>
      <c r="T33" s="4">
        <v>300000</v>
      </c>
      <c r="U33" s="4">
        <v>100000</v>
      </c>
      <c r="V33" s="4">
        <v>100000</v>
      </c>
      <c r="W33" s="4"/>
      <c r="X33" s="4"/>
      <c r="Y33" s="4"/>
      <c r="Z33" s="4"/>
      <c r="AA33" s="3"/>
      <c r="AB33" s="3" t="s">
        <v>1488</v>
      </c>
      <c r="AC33" s="3">
        <v>732000</v>
      </c>
      <c r="AD33" s="335"/>
      <c r="AE33" s="335"/>
      <c r="AF33" s="335"/>
      <c r="AG33" s="335"/>
      <c r="AH33" s="335"/>
      <c r="AI33" s="335"/>
      <c r="AJ33" s="335"/>
      <c r="AK33" s="335"/>
      <c r="AL33" s="335"/>
      <c r="AM33" s="154">
        <v>0</v>
      </c>
      <c r="AN33" s="4">
        <v>100000</v>
      </c>
      <c r="AO33" s="4">
        <v>0</v>
      </c>
      <c r="AP33" s="335"/>
      <c r="AQ33" s="335"/>
      <c r="AR33" s="335"/>
      <c r="AS33" s="335"/>
      <c r="AT33" s="335"/>
      <c r="AU33" s="4">
        <f t="shared" si="6"/>
        <v>0</v>
      </c>
      <c r="AV33" s="335"/>
      <c r="AW33" s="335"/>
      <c r="AX33" s="335"/>
      <c r="AY33" s="335"/>
      <c r="AZ33" s="335"/>
      <c r="BA33" s="299"/>
      <c r="BB33" s="299"/>
      <c r="BC33" s="299"/>
      <c r="BD33" s="299"/>
      <c r="BE33" s="299"/>
      <c r="BF33" s="299"/>
      <c r="BG33" s="299"/>
    </row>
    <row r="34" spans="1:59" s="6" customFormat="1" ht="31.95" customHeight="1">
      <c r="A34" s="3">
        <f t="shared" si="7"/>
        <v>30</v>
      </c>
      <c r="B34" s="3">
        <v>1674</v>
      </c>
      <c r="C34" s="3" t="s">
        <v>21</v>
      </c>
      <c r="D34" s="4">
        <v>1800000</v>
      </c>
      <c r="E34" s="4">
        <v>1800000</v>
      </c>
      <c r="F34" s="4">
        <f t="shared" si="0"/>
        <v>0</v>
      </c>
      <c r="G34" s="4">
        <v>1800000</v>
      </c>
      <c r="H34" s="4">
        <v>1565978</v>
      </c>
      <c r="I34" s="4">
        <v>104490</v>
      </c>
      <c r="J34" s="4">
        <v>88003</v>
      </c>
      <c r="K34" s="4">
        <f t="shared" si="1"/>
        <v>192493</v>
      </c>
      <c r="L34" s="4">
        <f t="shared" si="2"/>
        <v>1758471</v>
      </c>
      <c r="M34" s="4">
        <f>P34+S34</f>
        <v>41529</v>
      </c>
      <c r="N34" s="4"/>
      <c r="O34" s="4">
        <f t="shared" si="3"/>
        <v>0</v>
      </c>
      <c r="P34" s="4">
        <f t="shared" si="4"/>
        <v>41529</v>
      </c>
      <c r="Q34" s="4"/>
      <c r="R34" s="4"/>
      <c r="S34" s="4">
        <f t="shared" si="5"/>
        <v>0</v>
      </c>
      <c r="T34" s="4">
        <v>0</v>
      </c>
      <c r="U34" s="4">
        <v>0</v>
      </c>
      <c r="V34" s="4">
        <v>0</v>
      </c>
      <c r="W34" s="4"/>
      <c r="X34" s="4"/>
      <c r="Y34" s="4"/>
      <c r="Z34" s="4"/>
      <c r="AA34" s="4"/>
      <c r="AB34" s="3" t="s">
        <v>1489</v>
      </c>
      <c r="AC34" s="3">
        <v>732000</v>
      </c>
      <c r="AD34" s="335"/>
      <c r="AE34" s="335"/>
      <c r="AF34" s="335"/>
      <c r="AG34" s="335"/>
      <c r="AH34" s="335"/>
      <c r="AI34" s="335"/>
      <c r="AJ34" s="335"/>
      <c r="AK34" s="335"/>
      <c r="AL34" s="335"/>
      <c r="AM34" s="154">
        <v>0</v>
      </c>
      <c r="AN34" s="4">
        <v>0</v>
      </c>
      <c r="AO34" s="4">
        <v>0</v>
      </c>
      <c r="AP34" s="335"/>
      <c r="AQ34" s="335"/>
      <c r="AR34" s="335"/>
      <c r="AS34" s="335"/>
      <c r="AT34" s="335"/>
      <c r="AU34" s="4">
        <f t="shared" si="6"/>
        <v>0</v>
      </c>
      <c r="AV34" s="335"/>
      <c r="AW34" s="335"/>
      <c r="AX34" s="335"/>
      <c r="AY34" s="335"/>
      <c r="AZ34" s="335"/>
      <c r="BA34" s="299"/>
      <c r="BB34" s="299"/>
      <c r="BC34" s="299"/>
      <c r="BD34" s="299"/>
      <c r="BE34" s="299"/>
      <c r="BF34" s="299"/>
      <c r="BG34" s="299"/>
    </row>
    <row r="35" spans="1:59" s="5" customFormat="1" ht="31.95" customHeight="1">
      <c r="A35" s="3">
        <f t="shared" si="7"/>
        <v>31</v>
      </c>
      <c r="B35" s="3">
        <v>1692</v>
      </c>
      <c r="C35" s="3" t="s">
        <v>22</v>
      </c>
      <c r="D35" s="4">
        <v>2450000</v>
      </c>
      <c r="E35" s="4">
        <v>2450000</v>
      </c>
      <c r="F35" s="4">
        <f t="shared" si="0"/>
        <v>0</v>
      </c>
      <c r="G35" s="4">
        <v>1746509</v>
      </c>
      <c r="H35" s="4">
        <v>578671</v>
      </c>
      <c r="I35" s="4">
        <v>128716</v>
      </c>
      <c r="J35" s="4">
        <v>0</v>
      </c>
      <c r="K35" s="4">
        <f t="shared" si="1"/>
        <v>128716</v>
      </c>
      <c r="L35" s="4">
        <f t="shared" si="2"/>
        <v>707387</v>
      </c>
      <c r="M35" s="4">
        <f>P35+S35-1000000</f>
        <v>39122</v>
      </c>
      <c r="N35" s="4">
        <v>1000000</v>
      </c>
      <c r="O35" s="4">
        <f t="shared" si="3"/>
        <v>703491</v>
      </c>
      <c r="P35" s="4">
        <f t="shared" si="4"/>
        <v>1039122</v>
      </c>
      <c r="Q35" s="4"/>
      <c r="R35" s="4"/>
      <c r="S35" s="4">
        <f t="shared" si="5"/>
        <v>0</v>
      </c>
      <c r="T35" s="4">
        <v>1000000</v>
      </c>
      <c r="U35" s="4">
        <v>0</v>
      </c>
      <c r="V35" s="4">
        <v>-64226</v>
      </c>
      <c r="W35" s="4"/>
      <c r="X35" s="4"/>
      <c r="Y35" s="4"/>
      <c r="Z35" s="4"/>
      <c r="AA35" s="4">
        <v>64226</v>
      </c>
      <c r="AB35" s="3" t="s">
        <v>648</v>
      </c>
      <c r="AC35" s="3">
        <v>732000</v>
      </c>
      <c r="AD35" s="335"/>
      <c r="AE35" s="335"/>
      <c r="AF35" s="335"/>
      <c r="AG35" s="335"/>
      <c r="AH35" s="335"/>
      <c r="AI35" s="335"/>
      <c r="AJ35" s="335"/>
      <c r="AK35" s="482"/>
      <c r="AL35" s="335"/>
      <c r="AM35" s="154">
        <v>0</v>
      </c>
      <c r="AN35" s="4">
        <v>0</v>
      </c>
      <c r="AO35" s="4">
        <v>-64226</v>
      </c>
      <c r="AP35" s="335"/>
      <c r="AQ35" s="335"/>
      <c r="AR35" s="335"/>
      <c r="AS35" s="335"/>
      <c r="AT35" s="4">
        <v>64226</v>
      </c>
      <c r="AU35" s="4">
        <f t="shared" si="6"/>
        <v>0</v>
      </c>
      <c r="AV35" s="335"/>
      <c r="AW35" s="335"/>
      <c r="AX35" s="335"/>
      <c r="AY35" s="335"/>
      <c r="AZ35" s="335"/>
      <c r="BA35" s="299"/>
      <c r="BB35" s="299"/>
      <c r="BC35" s="299"/>
      <c r="BD35" s="299"/>
      <c r="BE35" s="299"/>
      <c r="BF35" s="299"/>
      <c r="BG35" s="299"/>
    </row>
    <row r="36" spans="1:59" s="5" customFormat="1" ht="31.95" customHeight="1">
      <c r="A36" s="3">
        <f t="shared" si="7"/>
        <v>32</v>
      </c>
      <c r="B36" s="3">
        <v>1701</v>
      </c>
      <c r="C36" s="3" t="s">
        <v>259</v>
      </c>
      <c r="D36" s="4">
        <v>1250000</v>
      </c>
      <c r="E36" s="4">
        <v>1250000</v>
      </c>
      <c r="F36" s="4">
        <f t="shared" si="0"/>
        <v>0</v>
      </c>
      <c r="G36" s="4">
        <v>570000</v>
      </c>
      <c r="H36" s="4">
        <v>149316</v>
      </c>
      <c r="I36" s="4">
        <v>75117</v>
      </c>
      <c r="J36" s="4">
        <v>263559</v>
      </c>
      <c r="K36" s="4">
        <f t="shared" si="1"/>
        <v>338676</v>
      </c>
      <c r="L36" s="4">
        <f t="shared" si="2"/>
        <v>487992</v>
      </c>
      <c r="M36" s="4">
        <f>P36+S36</f>
        <v>82008</v>
      </c>
      <c r="N36" s="4"/>
      <c r="O36" s="4">
        <f t="shared" si="3"/>
        <v>680000</v>
      </c>
      <c r="P36" s="4">
        <f t="shared" si="4"/>
        <v>82008</v>
      </c>
      <c r="Q36" s="4"/>
      <c r="R36" s="4"/>
      <c r="S36" s="4">
        <f t="shared" si="5"/>
        <v>0</v>
      </c>
      <c r="T36" s="4">
        <v>0</v>
      </c>
      <c r="U36" s="4">
        <v>0</v>
      </c>
      <c r="V36" s="4">
        <v>0</v>
      </c>
      <c r="W36" s="4"/>
      <c r="X36" s="4"/>
      <c r="Y36" s="4"/>
      <c r="Z36" s="4"/>
      <c r="AA36" s="3"/>
      <c r="AB36" s="3" t="s">
        <v>556</v>
      </c>
      <c r="AC36" s="3">
        <v>732000</v>
      </c>
      <c r="AD36" s="335"/>
      <c r="AE36" s="335"/>
      <c r="AF36" s="335"/>
      <c r="AG36" s="335"/>
      <c r="AH36" s="335"/>
      <c r="AI36" s="335"/>
      <c r="AJ36" s="335"/>
      <c r="AK36" s="335"/>
      <c r="AL36" s="335"/>
      <c r="AM36" s="154">
        <v>0</v>
      </c>
      <c r="AN36" s="4">
        <v>0</v>
      </c>
      <c r="AO36" s="4">
        <v>0</v>
      </c>
      <c r="AP36" s="335"/>
      <c r="AQ36" s="335"/>
      <c r="AR36" s="335"/>
      <c r="AS36" s="335"/>
      <c r="AT36" s="335"/>
      <c r="AU36" s="4">
        <f t="shared" si="6"/>
        <v>0</v>
      </c>
      <c r="AV36" s="335"/>
      <c r="AW36" s="335"/>
      <c r="AX36" s="335"/>
      <c r="AY36" s="335"/>
      <c r="AZ36" s="335"/>
      <c r="BA36" s="299"/>
      <c r="BB36" s="299"/>
      <c r="BC36" s="299"/>
      <c r="BD36" s="299"/>
      <c r="BE36" s="299"/>
      <c r="BF36" s="299"/>
      <c r="BG36" s="299"/>
    </row>
    <row r="37" spans="1:59" s="5" customFormat="1" ht="31.95" customHeight="1">
      <c r="A37" s="3">
        <f t="shared" si="7"/>
        <v>33</v>
      </c>
      <c r="B37" s="3">
        <v>1722</v>
      </c>
      <c r="C37" s="3" t="s">
        <v>39</v>
      </c>
      <c r="D37" s="4">
        <v>2400000</v>
      </c>
      <c r="E37" s="4">
        <v>2400000</v>
      </c>
      <c r="F37" s="4">
        <f t="shared" si="0"/>
        <v>0</v>
      </c>
      <c r="G37" s="4">
        <v>300000</v>
      </c>
      <c r="H37" s="4">
        <v>98067</v>
      </c>
      <c r="I37" s="4">
        <v>67053</v>
      </c>
      <c r="J37" s="4">
        <v>8850</v>
      </c>
      <c r="K37" s="4">
        <f t="shared" si="1"/>
        <v>75903</v>
      </c>
      <c r="L37" s="4">
        <f t="shared" si="2"/>
        <v>173970</v>
      </c>
      <c r="M37" s="4">
        <f>P37+S37</f>
        <v>126030</v>
      </c>
      <c r="N37" s="4"/>
      <c r="O37" s="4">
        <f t="shared" si="3"/>
        <v>2100000</v>
      </c>
      <c r="P37" s="4">
        <f t="shared" si="4"/>
        <v>126030</v>
      </c>
      <c r="Q37" s="4"/>
      <c r="R37" s="4"/>
      <c r="S37" s="4">
        <f t="shared" si="5"/>
        <v>0</v>
      </c>
      <c r="T37" s="4">
        <v>0</v>
      </c>
      <c r="U37" s="4">
        <v>0</v>
      </c>
      <c r="V37" s="4">
        <v>0</v>
      </c>
      <c r="W37" s="4"/>
      <c r="X37" s="4"/>
      <c r="Y37" s="4"/>
      <c r="Z37" s="4"/>
      <c r="AA37" s="3"/>
      <c r="AB37" s="3" t="s">
        <v>260</v>
      </c>
      <c r="AC37" s="3">
        <v>742000</v>
      </c>
      <c r="AD37" s="335"/>
      <c r="AE37" s="335"/>
      <c r="AF37" s="335"/>
      <c r="AG37" s="335"/>
      <c r="AH37" s="335"/>
      <c r="AI37" s="335"/>
      <c r="AJ37" s="335"/>
      <c r="AK37" s="335"/>
      <c r="AL37" s="335"/>
      <c r="AM37" s="154">
        <v>0</v>
      </c>
      <c r="AN37" s="4">
        <v>0</v>
      </c>
      <c r="AO37" s="4">
        <v>0</v>
      </c>
      <c r="AP37" s="335"/>
      <c r="AQ37" s="335"/>
      <c r="AR37" s="335"/>
      <c r="AS37" s="335"/>
      <c r="AT37" s="335"/>
      <c r="AU37" s="4">
        <f t="shared" si="6"/>
        <v>0</v>
      </c>
      <c r="AV37" s="335"/>
      <c r="AW37" s="335"/>
      <c r="AX37" s="335"/>
      <c r="AY37" s="335"/>
      <c r="AZ37" s="335"/>
      <c r="BA37" s="299"/>
      <c r="BB37" s="299"/>
      <c r="BC37" s="299"/>
      <c r="BD37" s="299"/>
      <c r="BE37" s="299"/>
      <c r="BF37" s="299"/>
      <c r="BG37" s="299"/>
    </row>
    <row r="38" spans="1:59" s="6" customFormat="1" ht="31.95" customHeight="1">
      <c r="A38" s="3">
        <f t="shared" si="7"/>
        <v>34</v>
      </c>
      <c r="B38" s="3">
        <v>1744</v>
      </c>
      <c r="C38" s="3" t="s">
        <v>40</v>
      </c>
      <c r="D38" s="4">
        <v>13000000</v>
      </c>
      <c r="E38" s="4">
        <v>13000000</v>
      </c>
      <c r="F38" s="4">
        <f t="shared" si="0"/>
        <v>0</v>
      </c>
      <c r="G38" s="4">
        <v>7800000</v>
      </c>
      <c r="H38" s="4">
        <v>6005098</v>
      </c>
      <c r="I38" s="4">
        <v>0</v>
      </c>
      <c r="J38" s="4">
        <v>117421</v>
      </c>
      <c r="K38" s="4">
        <f t="shared" si="1"/>
        <v>117421</v>
      </c>
      <c r="L38" s="4">
        <f t="shared" si="2"/>
        <v>6122519</v>
      </c>
      <c r="M38" s="4">
        <f>P38+S38-1600000</f>
        <v>77481</v>
      </c>
      <c r="N38" s="4">
        <f>1600000-100000-500000</f>
        <v>1000000</v>
      </c>
      <c r="O38" s="4">
        <f t="shared" si="3"/>
        <v>5800000</v>
      </c>
      <c r="P38" s="4">
        <f t="shared" si="4"/>
        <v>1677481</v>
      </c>
      <c r="Q38" s="4"/>
      <c r="R38" s="4"/>
      <c r="S38" s="4">
        <f t="shared" si="5"/>
        <v>0</v>
      </c>
      <c r="T38" s="4">
        <v>1600000</v>
      </c>
      <c r="U38" s="4">
        <v>-600000</v>
      </c>
      <c r="V38" s="4">
        <v>-600000</v>
      </c>
      <c r="W38" s="4"/>
      <c r="X38" s="4"/>
      <c r="Y38" s="4"/>
      <c r="Z38" s="4"/>
      <c r="AA38" s="3"/>
      <c r="AB38" s="3" t="s">
        <v>967</v>
      </c>
      <c r="AC38" s="3">
        <v>742000</v>
      </c>
      <c r="AD38" s="335"/>
      <c r="AE38" s="335"/>
      <c r="AF38" s="335"/>
      <c r="AG38" s="154">
        <v>-600000</v>
      </c>
      <c r="AH38" s="154"/>
      <c r="AI38" s="154"/>
      <c r="AJ38" s="154"/>
      <c r="AK38" s="154"/>
      <c r="AL38" s="154"/>
      <c r="AM38" s="154">
        <v>-600000</v>
      </c>
      <c r="AN38" s="4">
        <v>0</v>
      </c>
      <c r="AO38" s="4">
        <v>-600000</v>
      </c>
      <c r="AP38" s="335"/>
      <c r="AQ38" s="335"/>
      <c r="AR38" s="335"/>
      <c r="AS38" s="335"/>
      <c r="AT38" s="335"/>
      <c r="AU38" s="4">
        <f t="shared" si="6"/>
        <v>0</v>
      </c>
      <c r="AV38" s="335"/>
      <c r="AW38" s="335"/>
      <c r="AX38" s="335"/>
      <c r="AY38" s="335"/>
      <c r="AZ38" s="335"/>
      <c r="BA38" s="299"/>
      <c r="BB38" s="299"/>
      <c r="BC38" s="299"/>
      <c r="BD38" s="299"/>
      <c r="BE38" s="299"/>
      <c r="BF38" s="299"/>
      <c r="BG38" s="299"/>
    </row>
    <row r="39" spans="1:59" s="5" customFormat="1" ht="49.95" customHeight="1">
      <c r="A39" s="3">
        <f t="shared" si="7"/>
        <v>35</v>
      </c>
      <c r="B39" s="3">
        <v>1756</v>
      </c>
      <c r="C39" s="3" t="s">
        <v>494</v>
      </c>
      <c r="D39" s="4">
        <v>1700000</v>
      </c>
      <c r="E39" s="4">
        <v>1700000</v>
      </c>
      <c r="F39" s="4">
        <f t="shared" si="0"/>
        <v>0</v>
      </c>
      <c r="G39" s="4">
        <v>1100000</v>
      </c>
      <c r="H39" s="4">
        <v>409839</v>
      </c>
      <c r="I39" s="4">
        <v>34632</v>
      </c>
      <c r="J39" s="4">
        <v>49469</v>
      </c>
      <c r="K39" s="4">
        <f t="shared" si="1"/>
        <v>84101</v>
      </c>
      <c r="L39" s="4">
        <f t="shared" si="2"/>
        <v>493940</v>
      </c>
      <c r="M39" s="4">
        <f>P39+S39-600000</f>
        <v>6060</v>
      </c>
      <c r="N39" s="4">
        <f>600000-100000</f>
        <v>500000</v>
      </c>
      <c r="O39" s="4">
        <f t="shared" si="3"/>
        <v>700000</v>
      </c>
      <c r="P39" s="4">
        <f t="shared" si="4"/>
        <v>606060</v>
      </c>
      <c r="Q39" s="4"/>
      <c r="R39" s="4"/>
      <c r="S39" s="4">
        <f t="shared" si="5"/>
        <v>0</v>
      </c>
      <c r="T39" s="4">
        <v>600000</v>
      </c>
      <c r="U39" s="4">
        <v>-100000</v>
      </c>
      <c r="V39" s="4">
        <v>-100000</v>
      </c>
      <c r="W39" s="4"/>
      <c r="X39" s="4"/>
      <c r="Y39" s="4"/>
      <c r="Z39" s="4"/>
      <c r="AA39" s="4"/>
      <c r="AB39" s="3" t="s">
        <v>1490</v>
      </c>
      <c r="AC39" s="3">
        <v>732000</v>
      </c>
      <c r="AD39" s="335"/>
      <c r="AE39" s="335"/>
      <c r="AF39" s="335"/>
      <c r="AG39" s="154">
        <v>-100000</v>
      </c>
      <c r="AH39" s="154"/>
      <c r="AI39" s="154"/>
      <c r="AJ39" s="154"/>
      <c r="AK39" s="154"/>
      <c r="AL39" s="154"/>
      <c r="AM39" s="154">
        <v>-100000</v>
      </c>
      <c r="AN39" s="4">
        <v>0</v>
      </c>
      <c r="AO39" s="4">
        <v>-100000</v>
      </c>
      <c r="AP39" s="335"/>
      <c r="AQ39" s="335"/>
      <c r="AR39" s="335"/>
      <c r="AS39" s="335"/>
      <c r="AT39" s="335"/>
      <c r="AU39" s="4">
        <f t="shared" si="6"/>
        <v>0</v>
      </c>
      <c r="AV39" s="335"/>
      <c r="AW39" s="335"/>
      <c r="AX39" s="335"/>
      <c r="AY39" s="335"/>
      <c r="AZ39" s="335"/>
      <c r="BA39" s="299"/>
      <c r="BB39" s="299"/>
      <c r="BC39" s="299"/>
      <c r="BD39" s="299"/>
      <c r="BE39" s="299"/>
      <c r="BF39" s="299"/>
      <c r="BG39" s="299"/>
    </row>
    <row r="40" spans="1:59" s="5" customFormat="1" ht="49.95" customHeight="1">
      <c r="A40" s="3">
        <f t="shared" si="7"/>
        <v>36</v>
      </c>
      <c r="B40" s="3">
        <v>1759</v>
      </c>
      <c r="C40" s="3" t="s">
        <v>968</v>
      </c>
      <c r="D40" s="4">
        <v>500000</v>
      </c>
      <c r="E40" s="4">
        <v>500000</v>
      </c>
      <c r="F40" s="4">
        <f t="shared" si="0"/>
        <v>0</v>
      </c>
      <c r="G40" s="4">
        <v>500000</v>
      </c>
      <c r="H40" s="4">
        <v>478660</v>
      </c>
      <c r="I40" s="4">
        <v>0</v>
      </c>
      <c r="J40" s="4">
        <v>17152</v>
      </c>
      <c r="K40" s="4">
        <f t="shared" si="1"/>
        <v>17152</v>
      </c>
      <c r="L40" s="4">
        <f t="shared" si="2"/>
        <v>495812</v>
      </c>
      <c r="M40" s="4">
        <f>P40+S40</f>
        <v>4188</v>
      </c>
      <c r="N40" s="4"/>
      <c r="O40" s="4">
        <f t="shared" si="3"/>
        <v>0</v>
      </c>
      <c r="P40" s="4">
        <f t="shared" si="4"/>
        <v>4188</v>
      </c>
      <c r="Q40" s="4"/>
      <c r="R40" s="4"/>
      <c r="S40" s="4">
        <f t="shared" si="5"/>
        <v>0</v>
      </c>
      <c r="T40" s="4">
        <v>0</v>
      </c>
      <c r="U40" s="4">
        <v>0</v>
      </c>
      <c r="V40" s="4">
        <v>0</v>
      </c>
      <c r="W40" s="4"/>
      <c r="X40" s="4"/>
      <c r="Y40" s="4"/>
      <c r="Z40" s="4"/>
      <c r="AA40" s="3"/>
      <c r="AB40" s="3" t="s">
        <v>1491</v>
      </c>
      <c r="AC40" s="3">
        <v>732000</v>
      </c>
      <c r="AD40" s="335"/>
      <c r="AE40" s="335"/>
      <c r="AF40" s="335"/>
      <c r="AG40" s="335"/>
      <c r="AH40" s="335"/>
      <c r="AI40" s="335"/>
      <c r="AJ40" s="335"/>
      <c r="AK40" s="335"/>
      <c r="AL40" s="335"/>
      <c r="AM40" s="154">
        <v>0</v>
      </c>
      <c r="AN40" s="4">
        <v>0</v>
      </c>
      <c r="AO40" s="4">
        <v>0</v>
      </c>
      <c r="AP40" s="335"/>
      <c r="AQ40" s="335"/>
      <c r="AR40" s="335"/>
      <c r="AS40" s="335"/>
      <c r="AT40" s="335"/>
      <c r="AU40" s="4">
        <f t="shared" si="6"/>
        <v>0</v>
      </c>
      <c r="AV40" s="335"/>
      <c r="AW40" s="335"/>
      <c r="AX40" s="335"/>
      <c r="AY40" s="335"/>
      <c r="AZ40" s="335"/>
      <c r="BA40" s="299"/>
      <c r="BB40" s="299"/>
      <c r="BC40" s="299"/>
      <c r="BD40" s="299"/>
      <c r="BE40" s="299"/>
      <c r="BF40" s="299"/>
      <c r="BG40" s="299"/>
    </row>
    <row r="41" spans="1:59" s="5" customFormat="1" ht="31.95" customHeight="1">
      <c r="A41" s="3">
        <f t="shared" si="7"/>
        <v>37</v>
      </c>
      <c r="B41" s="3">
        <v>1799</v>
      </c>
      <c r="C41" s="3" t="s">
        <v>99</v>
      </c>
      <c r="D41" s="4">
        <v>1000000</v>
      </c>
      <c r="E41" s="4">
        <v>1000000</v>
      </c>
      <c r="F41" s="4">
        <f t="shared" si="0"/>
        <v>0</v>
      </c>
      <c r="G41" s="4">
        <v>350000</v>
      </c>
      <c r="H41" s="4">
        <v>183189</v>
      </c>
      <c r="I41" s="4">
        <v>32175</v>
      </c>
      <c r="J41" s="4">
        <v>40338</v>
      </c>
      <c r="K41" s="4">
        <f t="shared" si="1"/>
        <v>72513</v>
      </c>
      <c r="L41" s="4">
        <f t="shared" si="2"/>
        <v>255702</v>
      </c>
      <c r="M41" s="4">
        <f>P41+S41-100000+100000</f>
        <v>94298</v>
      </c>
      <c r="N41" s="4">
        <v>100000</v>
      </c>
      <c r="O41" s="4">
        <f t="shared" si="3"/>
        <v>550000</v>
      </c>
      <c r="P41" s="4">
        <f t="shared" si="4"/>
        <v>94298</v>
      </c>
      <c r="Q41" s="4"/>
      <c r="R41" s="4"/>
      <c r="S41" s="4">
        <f t="shared" si="5"/>
        <v>0</v>
      </c>
      <c r="T41" s="4">
        <v>0</v>
      </c>
      <c r="U41" s="4">
        <v>100000</v>
      </c>
      <c r="V41" s="4">
        <v>100000</v>
      </c>
      <c r="W41" s="4"/>
      <c r="X41" s="4"/>
      <c r="Y41" s="4"/>
      <c r="Z41" s="4"/>
      <c r="AA41" s="3"/>
      <c r="AB41" s="3" t="s">
        <v>1492</v>
      </c>
      <c r="AC41" s="3">
        <v>732000</v>
      </c>
      <c r="AD41" s="335"/>
      <c r="AE41" s="335"/>
      <c r="AF41" s="335"/>
      <c r="AG41" s="335"/>
      <c r="AH41" s="335"/>
      <c r="AI41" s="335"/>
      <c r="AJ41" s="335"/>
      <c r="AK41" s="335"/>
      <c r="AL41" s="335"/>
      <c r="AM41" s="154">
        <v>0</v>
      </c>
      <c r="AN41" s="4">
        <v>100000</v>
      </c>
      <c r="AO41" s="4">
        <v>0</v>
      </c>
      <c r="AP41" s="335"/>
      <c r="AQ41" s="335"/>
      <c r="AR41" s="335"/>
      <c r="AS41" s="335"/>
      <c r="AT41" s="335"/>
      <c r="AU41" s="4">
        <f t="shared" si="6"/>
        <v>0</v>
      </c>
      <c r="AV41" s="335"/>
      <c r="AW41" s="335"/>
      <c r="AX41" s="335"/>
      <c r="AY41" s="335"/>
      <c r="AZ41" s="335"/>
      <c r="BA41" s="299"/>
      <c r="BB41" s="299"/>
      <c r="BC41" s="299"/>
      <c r="BD41" s="299"/>
      <c r="BE41" s="299"/>
      <c r="BF41" s="299"/>
      <c r="BG41" s="299"/>
    </row>
    <row r="42" spans="1:59" s="343" customFormat="1" ht="31.95" customHeight="1">
      <c r="A42" s="3">
        <f t="shared" si="7"/>
        <v>38</v>
      </c>
      <c r="B42" s="3">
        <v>1843</v>
      </c>
      <c r="C42" s="3" t="s">
        <v>103</v>
      </c>
      <c r="D42" s="4">
        <f>380000+1240000-1240000</f>
        <v>380000</v>
      </c>
      <c r="E42" s="4">
        <v>380000</v>
      </c>
      <c r="F42" s="4">
        <f t="shared" si="0"/>
        <v>0</v>
      </c>
      <c r="G42" s="4">
        <v>0</v>
      </c>
      <c r="H42" s="4">
        <v>0</v>
      </c>
      <c r="I42" s="4">
        <v>0</v>
      </c>
      <c r="J42" s="4">
        <v>0</v>
      </c>
      <c r="K42" s="4">
        <f t="shared" si="1"/>
        <v>0</v>
      </c>
      <c r="L42" s="4">
        <f t="shared" si="2"/>
        <v>0</v>
      </c>
      <c r="M42" s="4">
        <f>P42+S42</f>
        <v>0</v>
      </c>
      <c r="N42" s="4">
        <f>720000-470000-50000</f>
        <v>200000</v>
      </c>
      <c r="O42" s="4">
        <f t="shared" si="3"/>
        <v>180000</v>
      </c>
      <c r="P42" s="4">
        <f t="shared" si="4"/>
        <v>0</v>
      </c>
      <c r="Q42" s="4"/>
      <c r="R42" s="4"/>
      <c r="S42" s="4">
        <f t="shared" si="5"/>
        <v>0</v>
      </c>
      <c r="T42" s="4">
        <v>0</v>
      </c>
      <c r="U42" s="4">
        <v>200000</v>
      </c>
      <c r="V42" s="4">
        <v>200000</v>
      </c>
      <c r="W42" s="4"/>
      <c r="X42" s="4"/>
      <c r="Y42" s="4"/>
      <c r="Z42" s="4"/>
      <c r="AA42" s="3"/>
      <c r="AB42" s="3" t="s">
        <v>687</v>
      </c>
      <c r="AC42" s="3">
        <v>732000</v>
      </c>
      <c r="AD42" s="335"/>
      <c r="AE42" s="335"/>
      <c r="AF42" s="335"/>
      <c r="AG42" s="335"/>
      <c r="AH42" s="335"/>
      <c r="AI42" s="335"/>
      <c r="AJ42" s="335"/>
      <c r="AK42" s="335"/>
      <c r="AL42" s="335"/>
      <c r="AM42" s="154">
        <v>0</v>
      </c>
      <c r="AN42" s="4">
        <v>200000</v>
      </c>
      <c r="AO42" s="4">
        <v>0</v>
      </c>
      <c r="AP42" s="335"/>
      <c r="AQ42" s="335"/>
      <c r="AR42" s="335"/>
      <c r="AS42" s="335"/>
      <c r="AT42" s="335"/>
      <c r="AU42" s="4">
        <f t="shared" si="6"/>
        <v>0</v>
      </c>
      <c r="AV42" s="335"/>
      <c r="AW42" s="335"/>
      <c r="AX42" s="335"/>
      <c r="AY42" s="335"/>
      <c r="AZ42" s="335"/>
      <c r="BA42" s="299"/>
      <c r="BB42" s="299"/>
      <c r="BC42" s="299"/>
      <c r="BD42" s="299"/>
      <c r="BE42" s="299"/>
      <c r="BF42" s="299"/>
      <c r="BG42" s="299"/>
    </row>
    <row r="43" spans="1:59" s="6" customFormat="1" ht="31.95" customHeight="1">
      <c r="A43" s="3">
        <f t="shared" si="7"/>
        <v>39</v>
      </c>
      <c r="B43" s="3">
        <v>1937</v>
      </c>
      <c r="C43" s="3" t="s">
        <v>347</v>
      </c>
      <c r="D43" s="4">
        <v>1050000</v>
      </c>
      <c r="E43" s="4">
        <v>1050000</v>
      </c>
      <c r="F43" s="4">
        <f t="shared" si="0"/>
        <v>0</v>
      </c>
      <c r="G43" s="4">
        <v>650000</v>
      </c>
      <c r="H43" s="4">
        <v>56082</v>
      </c>
      <c r="I43" s="4">
        <v>244936</v>
      </c>
      <c r="J43" s="4">
        <v>157170</v>
      </c>
      <c r="K43" s="4">
        <f t="shared" si="1"/>
        <v>402106</v>
      </c>
      <c r="L43" s="4">
        <f t="shared" si="2"/>
        <v>458188</v>
      </c>
      <c r="M43" s="4">
        <f>P43+S43-300000+120000</f>
        <v>11812</v>
      </c>
      <c r="N43" s="4">
        <v>300000</v>
      </c>
      <c r="O43" s="4">
        <f t="shared" si="3"/>
        <v>280000</v>
      </c>
      <c r="P43" s="4">
        <f t="shared" si="4"/>
        <v>191812</v>
      </c>
      <c r="Q43" s="4"/>
      <c r="R43" s="4"/>
      <c r="S43" s="4">
        <f t="shared" si="5"/>
        <v>0</v>
      </c>
      <c r="T43" s="4">
        <v>180000</v>
      </c>
      <c r="U43" s="4">
        <v>120000</v>
      </c>
      <c r="V43" s="4">
        <v>120000</v>
      </c>
      <c r="W43" s="4"/>
      <c r="X43" s="4"/>
      <c r="Y43" s="4"/>
      <c r="Z43" s="4"/>
      <c r="AA43" s="3"/>
      <c r="AB43" s="3" t="s">
        <v>612</v>
      </c>
      <c r="AC43" s="3">
        <v>732000</v>
      </c>
      <c r="AD43" s="335"/>
      <c r="AE43" s="335"/>
      <c r="AF43" s="335"/>
      <c r="AG43" s="335"/>
      <c r="AH43" s="335"/>
      <c r="AI43" s="335"/>
      <c r="AJ43" s="335"/>
      <c r="AK43" s="335"/>
      <c r="AL43" s="335"/>
      <c r="AM43" s="154">
        <v>0</v>
      </c>
      <c r="AN43" s="4">
        <v>120000</v>
      </c>
      <c r="AO43" s="4">
        <v>0</v>
      </c>
      <c r="AP43" s="335"/>
      <c r="AQ43" s="335"/>
      <c r="AR43" s="335"/>
      <c r="AS43" s="335"/>
      <c r="AT43" s="335"/>
      <c r="AU43" s="4">
        <f t="shared" si="6"/>
        <v>0</v>
      </c>
      <c r="AV43" s="335"/>
      <c r="AW43" s="335"/>
      <c r="AX43" s="335"/>
      <c r="AY43" s="335"/>
      <c r="AZ43" s="335"/>
      <c r="BA43" s="299"/>
      <c r="BB43" s="299"/>
      <c r="BC43" s="299"/>
      <c r="BD43" s="299"/>
      <c r="BE43" s="299"/>
      <c r="BF43" s="299"/>
      <c r="BG43" s="299"/>
    </row>
    <row r="44" spans="1:59" s="6" customFormat="1" ht="31.95" customHeight="1">
      <c r="A44" s="3">
        <f t="shared" si="7"/>
        <v>40</v>
      </c>
      <c r="B44" s="28">
        <v>2105</v>
      </c>
      <c r="C44" s="3" t="s">
        <v>343</v>
      </c>
      <c r="D44" s="4">
        <v>60000000</v>
      </c>
      <c r="E44" s="4">
        <v>60000000</v>
      </c>
      <c r="F44" s="4">
        <f t="shared" si="0"/>
        <v>0</v>
      </c>
      <c r="G44" s="4">
        <v>1000000</v>
      </c>
      <c r="H44" s="4">
        <v>0</v>
      </c>
      <c r="I44" s="4">
        <v>0</v>
      </c>
      <c r="J44" s="4">
        <v>129838</v>
      </c>
      <c r="K44" s="4">
        <f t="shared" si="1"/>
        <v>129838</v>
      </c>
      <c r="L44" s="4">
        <f t="shared" si="2"/>
        <v>129838</v>
      </c>
      <c r="M44" s="4">
        <f>P44+S44-800000</f>
        <v>70162</v>
      </c>
      <c r="N44" s="4">
        <f>800000-400000-200000</f>
        <v>200000</v>
      </c>
      <c r="O44" s="4">
        <f t="shared" si="3"/>
        <v>59600000</v>
      </c>
      <c r="P44" s="4">
        <f t="shared" si="4"/>
        <v>870162</v>
      </c>
      <c r="Q44" s="4"/>
      <c r="R44" s="4"/>
      <c r="S44" s="4">
        <f t="shared" si="5"/>
        <v>0</v>
      </c>
      <c r="T44" s="4">
        <v>800000</v>
      </c>
      <c r="U44" s="4">
        <v>-600000</v>
      </c>
      <c r="V44" s="4">
        <v>-600000</v>
      </c>
      <c r="W44" s="4"/>
      <c r="X44" s="4"/>
      <c r="Y44" s="4"/>
      <c r="Z44" s="4"/>
      <c r="AA44" s="3"/>
      <c r="AB44" s="3" t="s">
        <v>1493</v>
      </c>
      <c r="AC44" s="3">
        <v>742000</v>
      </c>
      <c r="AD44" s="335"/>
      <c r="AE44" s="335"/>
      <c r="AF44" s="335"/>
      <c r="AG44" s="335"/>
      <c r="AH44" s="335"/>
      <c r="AI44" s="335"/>
      <c r="AJ44" s="335"/>
      <c r="AK44" s="154">
        <v>-600000</v>
      </c>
      <c r="AL44" s="335"/>
      <c r="AM44" s="154">
        <v>-600000</v>
      </c>
      <c r="AN44" s="4">
        <v>0</v>
      </c>
      <c r="AO44" s="4">
        <v>-600000</v>
      </c>
      <c r="AP44" s="335"/>
      <c r="AQ44" s="335"/>
      <c r="AR44" s="335"/>
      <c r="AS44" s="335"/>
      <c r="AT44" s="335"/>
      <c r="AU44" s="4">
        <f t="shared" si="6"/>
        <v>0</v>
      </c>
      <c r="AV44" s="335"/>
      <c r="AW44" s="335"/>
      <c r="AX44" s="335"/>
      <c r="AY44" s="335"/>
      <c r="AZ44" s="335"/>
      <c r="BA44" s="299"/>
      <c r="BB44" s="299"/>
      <c r="BC44" s="299"/>
      <c r="BD44" s="299"/>
      <c r="BE44" s="299"/>
      <c r="BF44" s="299"/>
      <c r="BG44" s="299"/>
    </row>
    <row r="45" spans="1:59" s="5" customFormat="1" ht="49.95" customHeight="1">
      <c r="A45" s="3">
        <f t="shared" si="7"/>
        <v>41</v>
      </c>
      <c r="B45" s="28">
        <v>2107</v>
      </c>
      <c r="C45" s="3" t="s">
        <v>1204</v>
      </c>
      <c r="D45" s="4">
        <v>340000</v>
      </c>
      <c r="E45" s="4">
        <v>340000</v>
      </c>
      <c r="F45" s="4">
        <f t="shared" si="0"/>
        <v>0</v>
      </c>
      <c r="G45" s="4">
        <v>340000</v>
      </c>
      <c r="H45" s="4">
        <v>0</v>
      </c>
      <c r="I45" s="4">
        <v>0</v>
      </c>
      <c r="J45" s="4">
        <v>0</v>
      </c>
      <c r="K45" s="4">
        <f t="shared" si="1"/>
        <v>0</v>
      </c>
      <c r="L45" s="4">
        <f t="shared" si="2"/>
        <v>0</v>
      </c>
      <c r="M45" s="4">
        <f>P45+S45-340000</f>
        <v>0</v>
      </c>
      <c r="N45" s="4">
        <f>340000-340000</f>
        <v>0</v>
      </c>
      <c r="O45" s="4">
        <f t="shared" si="3"/>
        <v>340000</v>
      </c>
      <c r="P45" s="4">
        <f t="shared" si="4"/>
        <v>340000</v>
      </c>
      <c r="Q45" s="4"/>
      <c r="R45" s="4"/>
      <c r="S45" s="4">
        <f t="shared" si="5"/>
        <v>0</v>
      </c>
      <c r="T45" s="4">
        <v>340000</v>
      </c>
      <c r="U45" s="4">
        <v>-340000</v>
      </c>
      <c r="V45" s="4">
        <v>-340000</v>
      </c>
      <c r="W45" s="4"/>
      <c r="X45" s="4"/>
      <c r="Y45" s="4"/>
      <c r="Z45" s="4"/>
      <c r="AA45" s="3"/>
      <c r="AB45" s="3" t="s">
        <v>969</v>
      </c>
      <c r="AC45" s="3">
        <v>742000</v>
      </c>
      <c r="AD45" s="335"/>
      <c r="AE45" s="335"/>
      <c r="AF45" s="335"/>
      <c r="AG45" s="335"/>
      <c r="AH45" s="335"/>
      <c r="AI45" s="335"/>
      <c r="AJ45" s="335"/>
      <c r="AK45" s="154">
        <v>-340000</v>
      </c>
      <c r="AL45" s="335"/>
      <c r="AM45" s="154">
        <v>-340000</v>
      </c>
      <c r="AN45" s="4">
        <v>0</v>
      </c>
      <c r="AO45" s="4">
        <v>-340000</v>
      </c>
      <c r="AP45" s="335"/>
      <c r="AQ45" s="335"/>
      <c r="AR45" s="335"/>
      <c r="AS45" s="335"/>
      <c r="AT45" s="335"/>
      <c r="AU45" s="4">
        <f t="shared" si="6"/>
        <v>0</v>
      </c>
      <c r="AV45" s="335"/>
      <c r="AW45" s="335"/>
      <c r="AX45" s="335"/>
      <c r="AY45" s="335"/>
      <c r="AZ45" s="335"/>
      <c r="BA45" s="299"/>
      <c r="BB45" s="299"/>
      <c r="BC45" s="299"/>
      <c r="BD45" s="299"/>
      <c r="BE45" s="299"/>
      <c r="BF45" s="299"/>
      <c r="BG45" s="299"/>
    </row>
    <row r="46" spans="1:59" s="5" customFormat="1" ht="31.95" customHeight="1">
      <c r="A46" s="3">
        <f t="shared" si="7"/>
        <v>42</v>
      </c>
      <c r="B46" s="3">
        <v>2112</v>
      </c>
      <c r="C46" s="3" t="s">
        <v>394</v>
      </c>
      <c r="D46" s="4">
        <v>7650000</v>
      </c>
      <c r="E46" s="4">
        <v>7650000</v>
      </c>
      <c r="F46" s="4">
        <f t="shared" si="0"/>
        <v>0</v>
      </c>
      <c r="G46" s="4">
        <v>2160000</v>
      </c>
      <c r="H46" s="4">
        <v>23072</v>
      </c>
      <c r="I46" s="4">
        <v>0</v>
      </c>
      <c r="J46" s="4">
        <v>121399</v>
      </c>
      <c r="K46" s="4">
        <f t="shared" si="1"/>
        <v>121399</v>
      </c>
      <c r="L46" s="4">
        <f t="shared" si="2"/>
        <v>144471</v>
      </c>
      <c r="M46" s="4">
        <f>P46+S46-2000000</f>
        <v>15529</v>
      </c>
      <c r="N46" s="4">
        <f>2000000-500000</f>
        <v>1500000</v>
      </c>
      <c r="O46" s="4">
        <f t="shared" si="3"/>
        <v>5990000</v>
      </c>
      <c r="P46" s="4">
        <f t="shared" si="4"/>
        <v>2015529</v>
      </c>
      <c r="Q46" s="4"/>
      <c r="R46" s="4"/>
      <c r="S46" s="4">
        <f t="shared" si="5"/>
        <v>0</v>
      </c>
      <c r="T46" s="4">
        <v>2000000</v>
      </c>
      <c r="U46" s="4">
        <v>-500000</v>
      </c>
      <c r="V46" s="4">
        <v>-500000</v>
      </c>
      <c r="W46" s="4"/>
      <c r="X46" s="4"/>
      <c r="Y46" s="4"/>
      <c r="Z46" s="4"/>
      <c r="AA46" s="3"/>
      <c r="AB46" s="232" t="s">
        <v>613</v>
      </c>
      <c r="AC46" s="3">
        <v>732000</v>
      </c>
      <c r="AD46" s="335"/>
      <c r="AE46" s="335"/>
      <c r="AF46" s="335"/>
      <c r="AG46" s="335"/>
      <c r="AH46" s="335"/>
      <c r="AI46" s="335"/>
      <c r="AJ46" s="335"/>
      <c r="AK46" s="154">
        <v>-500000</v>
      </c>
      <c r="AL46" s="335"/>
      <c r="AM46" s="154">
        <v>-500000</v>
      </c>
      <c r="AN46" s="4">
        <v>0</v>
      </c>
      <c r="AO46" s="4">
        <v>-500000</v>
      </c>
      <c r="AP46" s="335"/>
      <c r="AQ46" s="335"/>
      <c r="AR46" s="335"/>
      <c r="AS46" s="335"/>
      <c r="AT46" s="335"/>
      <c r="AU46" s="4">
        <f t="shared" si="6"/>
        <v>0</v>
      </c>
      <c r="AV46" s="335"/>
      <c r="AW46" s="335"/>
      <c r="AX46" s="335"/>
      <c r="AY46" s="335"/>
      <c r="AZ46" s="335"/>
      <c r="BA46" s="299"/>
      <c r="BB46" s="299"/>
      <c r="BC46" s="299"/>
      <c r="BD46" s="299"/>
      <c r="BE46" s="299"/>
      <c r="BF46" s="299"/>
      <c r="BG46" s="299"/>
    </row>
    <row r="47" spans="1:59" s="6" customFormat="1" ht="31.95" customHeight="1">
      <c r="A47" s="3">
        <f t="shared" si="7"/>
        <v>43</v>
      </c>
      <c r="B47" s="3">
        <v>2113</v>
      </c>
      <c r="C47" s="3" t="s">
        <v>266</v>
      </c>
      <c r="D47" s="4">
        <v>2550000</v>
      </c>
      <c r="E47" s="4">
        <v>2550000</v>
      </c>
      <c r="F47" s="4">
        <f t="shared" si="0"/>
        <v>0</v>
      </c>
      <c r="G47" s="4">
        <v>200000</v>
      </c>
      <c r="H47" s="4">
        <v>9009</v>
      </c>
      <c r="I47" s="4">
        <v>0</v>
      </c>
      <c r="J47" s="4">
        <v>27963</v>
      </c>
      <c r="K47" s="4">
        <f t="shared" si="1"/>
        <v>27963</v>
      </c>
      <c r="L47" s="4">
        <f t="shared" si="2"/>
        <v>36972</v>
      </c>
      <c r="M47" s="4">
        <f>P47+S47-150000</f>
        <v>13028</v>
      </c>
      <c r="N47" s="4">
        <v>150000</v>
      </c>
      <c r="O47" s="4">
        <f t="shared" si="3"/>
        <v>2350000</v>
      </c>
      <c r="P47" s="4">
        <f t="shared" si="4"/>
        <v>163028</v>
      </c>
      <c r="Q47" s="4"/>
      <c r="R47" s="4"/>
      <c r="S47" s="4">
        <f t="shared" si="5"/>
        <v>0</v>
      </c>
      <c r="T47" s="4">
        <v>150000</v>
      </c>
      <c r="U47" s="4">
        <v>0</v>
      </c>
      <c r="V47" s="4">
        <v>0</v>
      </c>
      <c r="W47" s="4"/>
      <c r="X47" s="4"/>
      <c r="Y47" s="4"/>
      <c r="Z47" s="4"/>
      <c r="AA47" s="3"/>
      <c r="AB47" s="232" t="s">
        <v>614</v>
      </c>
      <c r="AC47" s="3">
        <v>732000</v>
      </c>
      <c r="AD47" s="335"/>
      <c r="AE47" s="335"/>
      <c r="AF47" s="335"/>
      <c r="AG47" s="335"/>
      <c r="AH47" s="335"/>
      <c r="AI47" s="335"/>
      <c r="AJ47" s="335"/>
      <c r="AK47" s="335"/>
      <c r="AL47" s="335"/>
      <c r="AM47" s="154">
        <v>0</v>
      </c>
      <c r="AN47" s="4">
        <v>0</v>
      </c>
      <c r="AO47" s="4">
        <v>0</v>
      </c>
      <c r="AP47" s="335"/>
      <c r="AQ47" s="335"/>
      <c r="AR47" s="335"/>
      <c r="AS47" s="335"/>
      <c r="AT47" s="335"/>
      <c r="AU47" s="4">
        <f t="shared" si="6"/>
        <v>0</v>
      </c>
      <c r="AV47" s="335"/>
      <c r="AW47" s="335"/>
      <c r="AX47" s="335"/>
      <c r="AY47" s="335"/>
      <c r="AZ47" s="335"/>
      <c r="BA47" s="299"/>
      <c r="BB47" s="299"/>
      <c r="BC47" s="299"/>
      <c r="BD47" s="299"/>
      <c r="BE47" s="299"/>
      <c r="BF47" s="299"/>
      <c r="BG47" s="299"/>
    </row>
    <row r="48" spans="1:59" s="6" customFormat="1" ht="31.95" customHeight="1">
      <c r="A48" s="3">
        <f t="shared" si="7"/>
        <v>44</v>
      </c>
      <c r="B48" s="3">
        <v>2114</v>
      </c>
      <c r="C48" s="3" t="s">
        <v>326</v>
      </c>
      <c r="D48" s="4">
        <v>1450000</v>
      </c>
      <c r="E48" s="4">
        <v>1450000</v>
      </c>
      <c r="F48" s="4">
        <f t="shared" si="0"/>
        <v>0</v>
      </c>
      <c r="G48" s="4">
        <v>650000</v>
      </c>
      <c r="H48" s="4">
        <v>0</v>
      </c>
      <c r="I48" s="4">
        <v>44352</v>
      </c>
      <c r="J48" s="4">
        <v>83304</v>
      </c>
      <c r="K48" s="4">
        <f t="shared" si="1"/>
        <v>127656</v>
      </c>
      <c r="L48" s="4">
        <f t="shared" si="2"/>
        <v>127656</v>
      </c>
      <c r="M48" s="4">
        <f>P48+S48-500000</f>
        <v>22344</v>
      </c>
      <c r="N48" s="4">
        <f>500000-200000-100000</f>
        <v>200000</v>
      </c>
      <c r="O48" s="4">
        <f t="shared" si="3"/>
        <v>1100000</v>
      </c>
      <c r="P48" s="4">
        <f t="shared" si="4"/>
        <v>522344</v>
      </c>
      <c r="Q48" s="4"/>
      <c r="R48" s="4"/>
      <c r="S48" s="4">
        <f t="shared" si="5"/>
        <v>0</v>
      </c>
      <c r="T48" s="4">
        <v>500000</v>
      </c>
      <c r="U48" s="4">
        <v>-300000</v>
      </c>
      <c r="V48" s="4">
        <v>-300000</v>
      </c>
      <c r="W48" s="4"/>
      <c r="X48" s="4"/>
      <c r="Y48" s="4"/>
      <c r="Z48" s="4"/>
      <c r="AA48" s="3"/>
      <c r="AB48" s="3" t="s">
        <v>579</v>
      </c>
      <c r="AC48" s="3">
        <v>732000</v>
      </c>
      <c r="AD48" s="335"/>
      <c r="AE48" s="335"/>
      <c r="AF48" s="335"/>
      <c r="AG48" s="154">
        <v>-300000</v>
      </c>
      <c r="AH48" s="154"/>
      <c r="AI48" s="154"/>
      <c r="AJ48" s="154"/>
      <c r="AK48" s="154"/>
      <c r="AL48" s="154"/>
      <c r="AM48" s="154">
        <v>-300000</v>
      </c>
      <c r="AN48" s="4">
        <v>0</v>
      </c>
      <c r="AO48" s="4">
        <v>-300000</v>
      </c>
      <c r="AP48" s="335"/>
      <c r="AQ48" s="335"/>
      <c r="AR48" s="335"/>
      <c r="AS48" s="335"/>
      <c r="AT48" s="335"/>
      <c r="AU48" s="4">
        <f t="shared" si="6"/>
        <v>0</v>
      </c>
      <c r="AV48" s="335"/>
      <c r="AW48" s="335"/>
      <c r="AX48" s="335"/>
      <c r="AY48" s="335"/>
      <c r="AZ48" s="335"/>
      <c r="BA48" s="299"/>
      <c r="BB48" s="299"/>
      <c r="BC48" s="299"/>
      <c r="BD48" s="299"/>
      <c r="BE48" s="299"/>
      <c r="BF48" s="299"/>
      <c r="BG48" s="299"/>
    </row>
    <row r="49" spans="1:59" s="6" customFormat="1" ht="31.95" customHeight="1">
      <c r="A49" s="3">
        <f t="shared" si="7"/>
        <v>45</v>
      </c>
      <c r="B49" s="3">
        <v>2117</v>
      </c>
      <c r="C49" s="3" t="s">
        <v>558</v>
      </c>
      <c r="D49" s="4">
        <v>750000</v>
      </c>
      <c r="E49" s="4">
        <v>750000</v>
      </c>
      <c r="F49" s="4">
        <f t="shared" si="0"/>
        <v>0</v>
      </c>
      <c r="G49" s="4">
        <v>400000</v>
      </c>
      <c r="H49" s="4">
        <v>24336</v>
      </c>
      <c r="I49" s="4">
        <v>0</v>
      </c>
      <c r="J49" s="4">
        <v>176035</v>
      </c>
      <c r="K49" s="4">
        <f t="shared" si="1"/>
        <v>176035</v>
      </c>
      <c r="L49" s="4">
        <f t="shared" si="2"/>
        <v>200371</v>
      </c>
      <c r="M49" s="4">
        <f>P49+S49-150000</f>
        <v>49629</v>
      </c>
      <c r="N49" s="4">
        <f>150000-50000</f>
        <v>100000</v>
      </c>
      <c r="O49" s="4">
        <f t="shared" si="3"/>
        <v>400000</v>
      </c>
      <c r="P49" s="4">
        <f t="shared" si="4"/>
        <v>199629</v>
      </c>
      <c r="Q49" s="4"/>
      <c r="R49" s="4"/>
      <c r="S49" s="4">
        <f t="shared" si="5"/>
        <v>0</v>
      </c>
      <c r="T49" s="4">
        <v>150000</v>
      </c>
      <c r="U49" s="4">
        <v>-50000</v>
      </c>
      <c r="V49" s="4">
        <v>-50000</v>
      </c>
      <c r="W49" s="8"/>
      <c r="X49" s="8"/>
      <c r="Y49" s="8"/>
      <c r="Z49" s="8"/>
      <c r="AA49" s="8"/>
      <c r="AB49" s="3" t="s">
        <v>559</v>
      </c>
      <c r="AC49" s="3">
        <v>732000</v>
      </c>
      <c r="AD49" s="335"/>
      <c r="AE49" s="335"/>
      <c r="AF49" s="335"/>
      <c r="AG49" s="154">
        <v>-50000</v>
      </c>
      <c r="AH49" s="154"/>
      <c r="AI49" s="154"/>
      <c r="AJ49" s="154"/>
      <c r="AK49" s="154"/>
      <c r="AL49" s="154"/>
      <c r="AM49" s="154">
        <v>-50000</v>
      </c>
      <c r="AN49" s="4">
        <v>0</v>
      </c>
      <c r="AO49" s="4">
        <v>-50000</v>
      </c>
      <c r="AP49" s="335"/>
      <c r="AQ49" s="335"/>
      <c r="AR49" s="335"/>
      <c r="AS49" s="335"/>
      <c r="AT49" s="335"/>
      <c r="AU49" s="4">
        <f t="shared" si="6"/>
        <v>0</v>
      </c>
      <c r="AV49" s="335"/>
      <c r="AW49" s="335"/>
      <c r="AX49" s="335"/>
      <c r="AY49" s="335"/>
      <c r="AZ49" s="335"/>
      <c r="BA49" s="299"/>
      <c r="BB49" s="299"/>
      <c r="BC49" s="299"/>
      <c r="BD49" s="299"/>
      <c r="BE49" s="299"/>
      <c r="BF49" s="299"/>
      <c r="BG49" s="299"/>
    </row>
    <row r="50" spans="1:59" s="5" customFormat="1" ht="31.95" customHeight="1">
      <c r="A50" s="3">
        <f t="shared" si="7"/>
        <v>46</v>
      </c>
      <c r="B50" s="28">
        <v>2121</v>
      </c>
      <c r="C50" s="3" t="s">
        <v>344</v>
      </c>
      <c r="D50" s="4">
        <v>300000</v>
      </c>
      <c r="E50" s="4">
        <v>300000</v>
      </c>
      <c r="F50" s="4">
        <f t="shared" si="0"/>
        <v>0</v>
      </c>
      <c r="G50" s="4">
        <v>300000</v>
      </c>
      <c r="H50" s="4">
        <v>75918</v>
      </c>
      <c r="I50" s="4">
        <v>0</v>
      </c>
      <c r="J50" s="4">
        <v>76900</v>
      </c>
      <c r="K50" s="4">
        <f t="shared" si="1"/>
        <v>76900</v>
      </c>
      <c r="L50" s="4">
        <f t="shared" si="2"/>
        <v>152818</v>
      </c>
      <c r="M50" s="4">
        <f>P50+S50-100000</f>
        <v>47182</v>
      </c>
      <c r="N50" s="4">
        <v>100000</v>
      </c>
      <c r="O50" s="4">
        <f t="shared" si="3"/>
        <v>0</v>
      </c>
      <c r="P50" s="4">
        <f t="shared" si="4"/>
        <v>147182</v>
      </c>
      <c r="Q50" s="4"/>
      <c r="R50" s="4"/>
      <c r="S50" s="4">
        <f t="shared" si="5"/>
        <v>0</v>
      </c>
      <c r="T50" s="4">
        <v>100000</v>
      </c>
      <c r="U50" s="4">
        <v>0</v>
      </c>
      <c r="V50" s="4">
        <v>0</v>
      </c>
      <c r="W50" s="4"/>
      <c r="X50" s="4"/>
      <c r="Y50" s="4"/>
      <c r="Z50" s="4"/>
      <c r="AA50" s="4"/>
      <c r="AB50" s="3" t="s">
        <v>345</v>
      </c>
      <c r="AC50" s="3">
        <v>742000</v>
      </c>
      <c r="AD50" s="335"/>
      <c r="AE50" s="335"/>
      <c r="AF50" s="335"/>
      <c r="AG50" s="335"/>
      <c r="AH50" s="335"/>
      <c r="AI50" s="335"/>
      <c r="AJ50" s="335"/>
      <c r="AK50" s="335"/>
      <c r="AL50" s="335"/>
      <c r="AM50" s="154">
        <v>0</v>
      </c>
      <c r="AN50" s="4">
        <v>0</v>
      </c>
      <c r="AO50" s="4">
        <v>0</v>
      </c>
      <c r="AP50" s="335"/>
      <c r="AQ50" s="335"/>
      <c r="AR50" s="335"/>
      <c r="AS50" s="335"/>
      <c r="AT50" s="335"/>
      <c r="AU50" s="4">
        <f t="shared" si="6"/>
        <v>0</v>
      </c>
      <c r="AV50" s="335"/>
      <c r="AW50" s="335"/>
      <c r="AX50" s="335"/>
      <c r="AY50" s="335"/>
      <c r="AZ50" s="335"/>
      <c r="BA50" s="299"/>
      <c r="BB50" s="299"/>
      <c r="BC50" s="299"/>
      <c r="BD50" s="299"/>
      <c r="BE50" s="299"/>
      <c r="BF50" s="299"/>
      <c r="BG50" s="299"/>
    </row>
    <row r="51" spans="1:59" s="5" customFormat="1" ht="31.95" customHeight="1">
      <c r="A51" s="3">
        <f t="shared" si="7"/>
        <v>47</v>
      </c>
      <c r="B51" s="28">
        <v>2122</v>
      </c>
      <c r="C51" s="3" t="s">
        <v>391</v>
      </c>
      <c r="D51" s="4">
        <f>300000-200000</f>
        <v>100000</v>
      </c>
      <c r="E51" s="4">
        <v>300000</v>
      </c>
      <c r="F51" s="4">
        <f t="shared" si="0"/>
        <v>-200000</v>
      </c>
      <c r="G51" s="4">
        <v>300000</v>
      </c>
      <c r="H51" s="4">
        <v>38188</v>
      </c>
      <c r="I51" s="4">
        <v>0</v>
      </c>
      <c r="J51" s="4">
        <v>21242</v>
      </c>
      <c r="K51" s="4">
        <f t="shared" si="1"/>
        <v>21242</v>
      </c>
      <c r="L51" s="4">
        <f t="shared" si="2"/>
        <v>59430</v>
      </c>
      <c r="M51" s="4">
        <f>P51+S51-200000</f>
        <v>40570</v>
      </c>
      <c r="N51" s="4">
        <f>200000-200000</f>
        <v>0</v>
      </c>
      <c r="O51" s="4">
        <f t="shared" si="3"/>
        <v>0</v>
      </c>
      <c r="P51" s="4">
        <f t="shared" si="4"/>
        <v>240570</v>
      </c>
      <c r="Q51" s="4"/>
      <c r="R51" s="4"/>
      <c r="S51" s="4">
        <f t="shared" si="5"/>
        <v>0</v>
      </c>
      <c r="T51" s="4">
        <v>200000</v>
      </c>
      <c r="U51" s="4">
        <v>-200000</v>
      </c>
      <c r="V51" s="4">
        <v>-60000</v>
      </c>
      <c r="W51" s="4"/>
      <c r="X51" s="4"/>
      <c r="Y51" s="4"/>
      <c r="Z51" s="4"/>
      <c r="AA51" s="4">
        <v>-140000</v>
      </c>
      <c r="AB51" s="3" t="s">
        <v>560</v>
      </c>
      <c r="AC51" s="3">
        <v>742000</v>
      </c>
      <c r="AD51" s="335"/>
      <c r="AE51" s="335"/>
      <c r="AF51" s="335"/>
      <c r="AG51" s="154">
        <v>-200000</v>
      </c>
      <c r="AH51" s="154"/>
      <c r="AI51" s="154"/>
      <c r="AJ51" s="154"/>
      <c r="AK51" s="154"/>
      <c r="AL51" s="154"/>
      <c r="AM51" s="154">
        <v>-200000</v>
      </c>
      <c r="AN51" s="4">
        <v>0</v>
      </c>
      <c r="AO51" s="4">
        <v>-60000</v>
      </c>
      <c r="AP51" s="335"/>
      <c r="AQ51" s="335"/>
      <c r="AR51" s="335"/>
      <c r="AS51" s="335"/>
      <c r="AT51" s="4">
        <v>-140000</v>
      </c>
      <c r="AU51" s="4">
        <f t="shared" si="6"/>
        <v>0</v>
      </c>
      <c r="AV51" s="335"/>
      <c r="AW51" s="335"/>
      <c r="AX51" s="335"/>
      <c r="AY51" s="335"/>
      <c r="AZ51" s="335"/>
      <c r="BA51" s="299"/>
      <c r="BB51" s="299"/>
      <c r="BC51" s="299"/>
      <c r="BD51" s="299"/>
      <c r="BE51" s="299"/>
      <c r="BF51" s="299"/>
      <c r="BG51" s="299"/>
    </row>
    <row r="52" spans="1:59" s="5" customFormat="1" ht="31.95" customHeight="1">
      <c r="A52" s="3">
        <f t="shared" si="7"/>
        <v>48</v>
      </c>
      <c r="B52" s="28">
        <v>2123</v>
      </c>
      <c r="C52" s="3" t="s">
        <v>392</v>
      </c>
      <c r="D52" s="4">
        <f>750000-500000</f>
        <v>250000</v>
      </c>
      <c r="E52" s="4">
        <v>750000</v>
      </c>
      <c r="F52" s="4">
        <f t="shared" si="0"/>
        <v>-500000</v>
      </c>
      <c r="G52" s="4">
        <v>750000</v>
      </c>
      <c r="H52" s="4">
        <v>38624</v>
      </c>
      <c r="I52" s="4">
        <v>0</v>
      </c>
      <c r="J52" s="4">
        <v>77516</v>
      </c>
      <c r="K52" s="4">
        <f t="shared" si="1"/>
        <v>77516</v>
      </c>
      <c r="L52" s="4">
        <f t="shared" si="2"/>
        <v>116140</v>
      </c>
      <c r="M52" s="4">
        <f>P52+S52-600000</f>
        <v>33860</v>
      </c>
      <c r="N52" s="4">
        <f>600000-500000</f>
        <v>100000</v>
      </c>
      <c r="O52" s="4">
        <f t="shared" si="3"/>
        <v>0</v>
      </c>
      <c r="P52" s="4">
        <f t="shared" si="4"/>
        <v>633860</v>
      </c>
      <c r="Q52" s="4"/>
      <c r="R52" s="4"/>
      <c r="S52" s="4">
        <f t="shared" si="5"/>
        <v>0</v>
      </c>
      <c r="T52" s="4">
        <v>600000</v>
      </c>
      <c r="U52" s="4">
        <v>-500000</v>
      </c>
      <c r="V52" s="4">
        <v>-150000</v>
      </c>
      <c r="W52" s="4"/>
      <c r="X52" s="4"/>
      <c r="Y52" s="4"/>
      <c r="Z52" s="4"/>
      <c r="AA52" s="4">
        <v>-350000</v>
      </c>
      <c r="AB52" s="3" t="s">
        <v>349</v>
      </c>
      <c r="AC52" s="3">
        <v>742000</v>
      </c>
      <c r="AD52" s="335"/>
      <c r="AE52" s="335"/>
      <c r="AF52" s="335"/>
      <c r="AG52" s="154">
        <v>-500000</v>
      </c>
      <c r="AH52" s="154"/>
      <c r="AI52" s="154"/>
      <c r="AJ52" s="154"/>
      <c r="AK52" s="154"/>
      <c r="AL52" s="154"/>
      <c r="AM52" s="154">
        <v>-500000</v>
      </c>
      <c r="AN52" s="4">
        <v>0</v>
      </c>
      <c r="AO52" s="4">
        <v>-150000</v>
      </c>
      <c r="AP52" s="335"/>
      <c r="AQ52" s="335"/>
      <c r="AR52" s="335"/>
      <c r="AS52" s="335"/>
      <c r="AT52" s="4">
        <v>-350000</v>
      </c>
      <c r="AU52" s="4">
        <f t="shared" si="6"/>
        <v>0</v>
      </c>
      <c r="AV52" s="335"/>
      <c r="AW52" s="335"/>
      <c r="AX52" s="335"/>
      <c r="AY52" s="335"/>
      <c r="AZ52" s="335"/>
      <c r="BA52" s="299"/>
      <c r="BB52" s="299"/>
      <c r="BC52" s="299"/>
      <c r="BD52" s="299"/>
      <c r="BE52" s="299"/>
      <c r="BF52" s="299"/>
      <c r="BG52" s="299"/>
    </row>
    <row r="53" spans="1:59" s="5" customFormat="1" ht="49.95" customHeight="1">
      <c r="A53" s="3">
        <f t="shared" si="7"/>
        <v>49</v>
      </c>
      <c r="B53" s="28">
        <v>2141</v>
      </c>
      <c r="C53" s="3" t="s">
        <v>1205</v>
      </c>
      <c r="D53" s="4">
        <v>640000</v>
      </c>
      <c r="E53" s="4">
        <v>640000</v>
      </c>
      <c r="F53" s="4">
        <f t="shared" si="0"/>
        <v>0</v>
      </c>
      <c r="G53" s="4">
        <v>0</v>
      </c>
      <c r="H53" s="4">
        <v>0</v>
      </c>
      <c r="I53" s="4">
        <v>0</v>
      </c>
      <c r="J53" s="4">
        <v>0</v>
      </c>
      <c r="K53" s="4">
        <f t="shared" si="1"/>
        <v>0</v>
      </c>
      <c r="L53" s="4">
        <f t="shared" si="2"/>
        <v>0</v>
      </c>
      <c r="M53" s="4">
        <f>P53+S53</f>
        <v>0</v>
      </c>
      <c r="N53" s="4">
        <f>300000-100000-100000</f>
        <v>100000</v>
      </c>
      <c r="O53" s="4">
        <f t="shared" si="3"/>
        <v>540000</v>
      </c>
      <c r="P53" s="4">
        <f t="shared" si="4"/>
        <v>0</v>
      </c>
      <c r="Q53" s="4"/>
      <c r="R53" s="4"/>
      <c r="S53" s="4">
        <f t="shared" si="5"/>
        <v>0</v>
      </c>
      <c r="T53" s="4">
        <v>0</v>
      </c>
      <c r="U53" s="4">
        <v>100000</v>
      </c>
      <c r="V53" s="4">
        <v>100000</v>
      </c>
      <c r="W53" s="4"/>
      <c r="X53" s="4"/>
      <c r="Y53" s="4"/>
      <c r="Z53" s="4"/>
      <c r="AA53" s="4"/>
      <c r="AB53" s="3" t="s">
        <v>615</v>
      </c>
      <c r="AC53" s="3">
        <v>732000</v>
      </c>
      <c r="AD53" s="335"/>
      <c r="AE53" s="335"/>
      <c r="AF53" s="335"/>
      <c r="AG53" s="335"/>
      <c r="AH53" s="335"/>
      <c r="AI53" s="335"/>
      <c r="AJ53" s="335"/>
      <c r="AK53" s="335"/>
      <c r="AL53" s="335"/>
      <c r="AM53" s="154">
        <v>0</v>
      </c>
      <c r="AN53" s="4">
        <v>100000</v>
      </c>
      <c r="AO53" s="4">
        <v>0</v>
      </c>
      <c r="AP53" s="335"/>
      <c r="AQ53" s="335"/>
      <c r="AR53" s="335"/>
      <c r="AS53" s="335"/>
      <c r="AT53" s="335"/>
      <c r="AU53" s="4">
        <f t="shared" si="6"/>
        <v>0</v>
      </c>
      <c r="AV53" s="335"/>
      <c r="AW53" s="335"/>
      <c r="AX53" s="335"/>
      <c r="AY53" s="335"/>
      <c r="AZ53" s="335"/>
      <c r="BA53" s="299"/>
      <c r="BB53" s="299"/>
      <c r="BC53" s="299"/>
      <c r="BD53" s="299"/>
      <c r="BE53" s="299"/>
      <c r="BF53" s="299"/>
      <c r="BG53" s="299"/>
    </row>
    <row r="54" spans="1:59" s="5" customFormat="1" ht="31.95" customHeight="1">
      <c r="A54" s="3">
        <f t="shared" si="7"/>
        <v>50</v>
      </c>
      <c r="B54" s="3">
        <v>2142</v>
      </c>
      <c r="C54" s="3" t="s">
        <v>448</v>
      </c>
      <c r="D54" s="4">
        <v>4000000</v>
      </c>
      <c r="E54" s="4">
        <v>4000000</v>
      </c>
      <c r="F54" s="4">
        <f t="shared" si="0"/>
        <v>0</v>
      </c>
      <c r="G54" s="4">
        <f>2400000+1000000</f>
        <v>3400000</v>
      </c>
      <c r="H54" s="4">
        <v>148572</v>
      </c>
      <c r="I54" s="4">
        <v>1045967</v>
      </c>
      <c r="J54" s="4">
        <v>592307</v>
      </c>
      <c r="K54" s="4">
        <f t="shared" si="1"/>
        <v>1638274</v>
      </c>
      <c r="L54" s="4">
        <f t="shared" si="2"/>
        <v>1786846</v>
      </c>
      <c r="M54" s="4">
        <f>P54+S54-500000-500000</f>
        <v>613154</v>
      </c>
      <c r="N54" s="4">
        <f>500000+500000</f>
        <v>1000000</v>
      </c>
      <c r="O54" s="4">
        <f t="shared" si="3"/>
        <v>600000</v>
      </c>
      <c r="P54" s="4">
        <f t="shared" si="4"/>
        <v>1613154</v>
      </c>
      <c r="Q54" s="4"/>
      <c r="R54" s="4"/>
      <c r="S54" s="4">
        <f t="shared" si="5"/>
        <v>0</v>
      </c>
      <c r="T54" s="4">
        <v>1000000</v>
      </c>
      <c r="U54" s="4">
        <v>0</v>
      </c>
      <c r="V54" s="4">
        <v>0</v>
      </c>
      <c r="W54" s="4"/>
      <c r="X54" s="4"/>
      <c r="Y54" s="4"/>
      <c r="Z54" s="4"/>
      <c r="AA54" s="4"/>
      <c r="AB54" s="3" t="s">
        <v>449</v>
      </c>
      <c r="AC54" s="3">
        <v>742000</v>
      </c>
      <c r="AD54" s="335"/>
      <c r="AE54" s="335"/>
      <c r="AF54" s="335"/>
      <c r="AG54" s="335"/>
      <c r="AH54" s="335"/>
      <c r="AI54" s="335"/>
      <c r="AJ54" s="335"/>
      <c r="AK54" s="335"/>
      <c r="AL54" s="335"/>
      <c r="AM54" s="154">
        <v>0</v>
      </c>
      <c r="AN54" s="4">
        <v>0</v>
      </c>
      <c r="AO54" s="4">
        <v>0</v>
      </c>
      <c r="AP54" s="335"/>
      <c r="AQ54" s="335"/>
      <c r="AR54" s="335"/>
      <c r="AS54" s="335"/>
      <c r="AT54" s="335"/>
      <c r="AU54" s="4">
        <f t="shared" si="6"/>
        <v>0</v>
      </c>
      <c r="AV54" s="335"/>
      <c r="AW54" s="335"/>
      <c r="AX54" s="335"/>
      <c r="AY54" s="335"/>
      <c r="AZ54" s="335"/>
      <c r="BA54" s="299"/>
      <c r="BB54" s="299"/>
      <c r="BC54" s="299"/>
      <c r="BD54" s="299"/>
      <c r="BE54" s="299"/>
      <c r="BF54" s="299"/>
      <c r="BG54" s="299"/>
    </row>
    <row r="55" spans="1:59" s="5" customFormat="1" ht="31.95" customHeight="1">
      <c r="A55" s="3">
        <f t="shared" si="7"/>
        <v>51</v>
      </c>
      <c r="B55" s="28">
        <v>2143</v>
      </c>
      <c r="C55" s="3" t="s">
        <v>450</v>
      </c>
      <c r="D55" s="4">
        <f>500000+350000</f>
        <v>850000</v>
      </c>
      <c r="E55" s="4">
        <v>500000</v>
      </c>
      <c r="F55" s="4">
        <f t="shared" si="0"/>
        <v>350000</v>
      </c>
      <c r="G55" s="4">
        <v>500000</v>
      </c>
      <c r="H55" s="4">
        <v>0</v>
      </c>
      <c r="I55" s="4">
        <v>0</v>
      </c>
      <c r="J55" s="4">
        <v>0</v>
      </c>
      <c r="K55" s="4">
        <f t="shared" si="1"/>
        <v>0</v>
      </c>
      <c r="L55" s="4">
        <f t="shared" si="2"/>
        <v>0</v>
      </c>
      <c r="M55" s="4">
        <f>P55+S55-500000</f>
        <v>0</v>
      </c>
      <c r="N55" s="4">
        <f>500000-200000</f>
        <v>300000</v>
      </c>
      <c r="O55" s="4">
        <f t="shared" si="3"/>
        <v>550000</v>
      </c>
      <c r="P55" s="4">
        <f t="shared" si="4"/>
        <v>500000</v>
      </c>
      <c r="Q55" s="4"/>
      <c r="R55" s="4"/>
      <c r="S55" s="4">
        <f t="shared" si="5"/>
        <v>0</v>
      </c>
      <c r="T55" s="4">
        <v>500000</v>
      </c>
      <c r="U55" s="4">
        <v>-200000</v>
      </c>
      <c r="V55" s="4">
        <v>-200000</v>
      </c>
      <c r="W55" s="4"/>
      <c r="X55" s="4"/>
      <c r="Y55" s="4"/>
      <c r="Z55" s="4"/>
      <c r="AA55" s="4"/>
      <c r="AB55" s="3" t="s">
        <v>970</v>
      </c>
      <c r="AC55" s="3">
        <v>732000</v>
      </c>
      <c r="AD55" s="335"/>
      <c r="AE55" s="335"/>
      <c r="AF55" s="335"/>
      <c r="AG55" s="154">
        <v>-200000</v>
      </c>
      <c r="AH55" s="154"/>
      <c r="AI55" s="154"/>
      <c r="AJ55" s="154"/>
      <c r="AK55" s="154"/>
      <c r="AL55" s="154"/>
      <c r="AM55" s="154">
        <v>-200000</v>
      </c>
      <c r="AN55" s="4">
        <v>0</v>
      </c>
      <c r="AO55" s="4">
        <v>-200000</v>
      </c>
      <c r="AP55" s="335"/>
      <c r="AQ55" s="335"/>
      <c r="AR55" s="335"/>
      <c r="AS55" s="335"/>
      <c r="AT55" s="335"/>
      <c r="AU55" s="4">
        <f t="shared" si="6"/>
        <v>0</v>
      </c>
      <c r="AV55" s="335"/>
      <c r="AW55" s="335"/>
      <c r="AX55" s="335"/>
      <c r="AY55" s="335"/>
      <c r="AZ55" s="335"/>
      <c r="BA55" s="299"/>
      <c r="BB55" s="299"/>
      <c r="BC55" s="299"/>
      <c r="BD55" s="299"/>
      <c r="BE55" s="299"/>
      <c r="BF55" s="299"/>
      <c r="BG55" s="299"/>
    </row>
    <row r="56" spans="1:59" s="5" customFormat="1" ht="31.95" customHeight="1">
      <c r="A56" s="3">
        <f t="shared" si="7"/>
        <v>52</v>
      </c>
      <c r="B56" s="28">
        <v>2144</v>
      </c>
      <c r="C56" s="3" t="s">
        <v>453</v>
      </c>
      <c r="D56" s="4">
        <v>500000</v>
      </c>
      <c r="E56" s="4">
        <v>500000</v>
      </c>
      <c r="F56" s="4">
        <f t="shared" si="0"/>
        <v>0</v>
      </c>
      <c r="G56" s="4">
        <v>500000</v>
      </c>
      <c r="H56" s="4">
        <v>0</v>
      </c>
      <c r="I56" s="4">
        <v>0</v>
      </c>
      <c r="J56" s="4">
        <v>0</v>
      </c>
      <c r="K56" s="4">
        <f t="shared" si="1"/>
        <v>0</v>
      </c>
      <c r="L56" s="4">
        <f t="shared" si="2"/>
        <v>0</v>
      </c>
      <c r="M56" s="4">
        <f>P56+S56-500000</f>
        <v>0</v>
      </c>
      <c r="N56" s="4">
        <f>500000-200000</f>
        <v>300000</v>
      </c>
      <c r="O56" s="4">
        <f t="shared" si="3"/>
        <v>200000</v>
      </c>
      <c r="P56" s="4">
        <f t="shared" si="4"/>
        <v>500000</v>
      </c>
      <c r="Q56" s="4"/>
      <c r="R56" s="4"/>
      <c r="S56" s="4">
        <f t="shared" si="5"/>
        <v>0</v>
      </c>
      <c r="T56" s="4">
        <v>500000</v>
      </c>
      <c r="U56" s="4">
        <v>-200000</v>
      </c>
      <c r="V56" s="4">
        <v>-200000</v>
      </c>
      <c r="W56" s="4"/>
      <c r="X56" s="4"/>
      <c r="Y56" s="4"/>
      <c r="Z56" s="4"/>
      <c r="AA56" s="4"/>
      <c r="AB56" s="3" t="s">
        <v>473</v>
      </c>
      <c r="AC56" s="3">
        <v>732000</v>
      </c>
      <c r="AD56" s="335"/>
      <c r="AE56" s="335"/>
      <c r="AF56" s="335"/>
      <c r="AG56" s="154">
        <v>-200000</v>
      </c>
      <c r="AH56" s="154"/>
      <c r="AI56" s="154"/>
      <c r="AJ56" s="154"/>
      <c r="AK56" s="154"/>
      <c r="AL56" s="154"/>
      <c r="AM56" s="154">
        <v>-200000</v>
      </c>
      <c r="AN56" s="4">
        <v>0</v>
      </c>
      <c r="AO56" s="4">
        <v>-200000</v>
      </c>
      <c r="AP56" s="335"/>
      <c r="AQ56" s="335"/>
      <c r="AR56" s="335"/>
      <c r="AS56" s="335"/>
      <c r="AT56" s="335"/>
      <c r="AU56" s="4">
        <f t="shared" si="6"/>
        <v>0</v>
      </c>
      <c r="AV56" s="335"/>
      <c r="AW56" s="335"/>
      <c r="AX56" s="335"/>
      <c r="AY56" s="335"/>
      <c r="AZ56" s="335"/>
      <c r="BA56" s="299"/>
      <c r="BB56" s="299"/>
      <c r="BC56" s="299"/>
      <c r="BD56" s="299"/>
      <c r="BE56" s="299"/>
      <c r="BF56" s="299"/>
      <c r="BG56" s="299"/>
    </row>
    <row r="57" spans="1:59" s="5" customFormat="1" ht="31.95" customHeight="1">
      <c r="A57" s="3">
        <f t="shared" si="7"/>
        <v>53</v>
      </c>
      <c r="B57" s="3">
        <v>2146</v>
      </c>
      <c r="C57" s="3" t="s">
        <v>456</v>
      </c>
      <c r="D57" s="4">
        <v>220000</v>
      </c>
      <c r="E57" s="4">
        <v>220000</v>
      </c>
      <c r="F57" s="4">
        <f>D57-E57</f>
        <v>0</v>
      </c>
      <c r="G57" s="4">
        <v>130000</v>
      </c>
      <c r="H57" s="4">
        <v>16642</v>
      </c>
      <c r="I57" s="4">
        <v>0</v>
      </c>
      <c r="J57" s="4">
        <v>43525</v>
      </c>
      <c r="K57" s="4">
        <f t="shared" si="1"/>
        <v>43525</v>
      </c>
      <c r="L57" s="4">
        <f>H57+K57</f>
        <v>60167</v>
      </c>
      <c r="M57" s="4">
        <f>P57+S57-50000</f>
        <v>19833</v>
      </c>
      <c r="N57" s="4">
        <v>50000</v>
      </c>
      <c r="O57" s="4">
        <f>D57-L57-M57-N57</f>
        <v>90000</v>
      </c>
      <c r="P57" s="4">
        <f t="shared" si="4"/>
        <v>69833</v>
      </c>
      <c r="Q57" s="4"/>
      <c r="R57" s="4"/>
      <c r="S57" s="4">
        <f>SUM(Q57:R57)</f>
        <v>0</v>
      </c>
      <c r="T57" s="4">
        <v>50000</v>
      </c>
      <c r="U57" s="4">
        <v>0</v>
      </c>
      <c r="V57" s="4">
        <v>0</v>
      </c>
      <c r="W57" s="4"/>
      <c r="X57" s="4"/>
      <c r="Y57" s="4"/>
      <c r="Z57" s="4"/>
      <c r="AA57" s="4"/>
      <c r="AB57" s="3" t="s">
        <v>590</v>
      </c>
      <c r="AC57" s="3">
        <v>732000</v>
      </c>
      <c r="AD57" s="335"/>
      <c r="AE57" s="335"/>
      <c r="AF57" s="335"/>
      <c r="AG57" s="335"/>
      <c r="AH57" s="335"/>
      <c r="AI57" s="335"/>
      <c r="AJ57" s="335"/>
      <c r="AK57" s="335"/>
      <c r="AL57" s="335"/>
      <c r="AM57" s="154">
        <v>0</v>
      </c>
      <c r="AN57" s="4">
        <v>0</v>
      </c>
      <c r="AO57" s="4">
        <v>0</v>
      </c>
      <c r="AP57" s="335"/>
      <c r="AQ57" s="335"/>
      <c r="AR57" s="335"/>
      <c r="AS57" s="335"/>
      <c r="AT57" s="335"/>
      <c r="AU57" s="4">
        <f t="shared" si="6"/>
        <v>0</v>
      </c>
      <c r="AV57" s="335"/>
      <c r="AW57" s="335"/>
      <c r="AX57" s="335"/>
      <c r="AY57" s="335"/>
      <c r="AZ57" s="335"/>
      <c r="BA57" s="299"/>
      <c r="BB57" s="299"/>
      <c r="BC57" s="299"/>
      <c r="BD57" s="299"/>
      <c r="BE57" s="299"/>
      <c r="BF57" s="299"/>
      <c r="BG57" s="299"/>
    </row>
    <row r="58" spans="1:59" s="5" customFormat="1" ht="31.95" customHeight="1">
      <c r="A58" s="3">
        <f t="shared" si="7"/>
        <v>54</v>
      </c>
      <c r="B58" s="28">
        <v>2189</v>
      </c>
      <c r="C58" s="3" t="s">
        <v>1207</v>
      </c>
      <c r="D58" s="4">
        <v>250000</v>
      </c>
      <c r="E58" s="4">
        <v>250000</v>
      </c>
      <c r="F58" s="4">
        <f t="shared" ref="F58:F76" si="8">D58-E58</f>
        <v>0</v>
      </c>
      <c r="G58" s="4">
        <v>30000</v>
      </c>
      <c r="H58" s="4">
        <v>17123</v>
      </c>
      <c r="I58" s="4">
        <v>0</v>
      </c>
      <c r="J58" s="4">
        <v>0</v>
      </c>
      <c r="K58" s="4">
        <f t="shared" si="1"/>
        <v>0</v>
      </c>
      <c r="L58" s="4">
        <f t="shared" ref="L58:L70" si="9">H58+K58</f>
        <v>17123</v>
      </c>
      <c r="M58" s="4">
        <f t="shared" ref="M58:M64" si="10">P58+S58</f>
        <v>12877</v>
      </c>
      <c r="N58" s="4"/>
      <c r="O58" s="4">
        <f t="shared" ref="O58:O76" si="11">D58-L58-M58-N58</f>
        <v>220000</v>
      </c>
      <c r="P58" s="4">
        <f t="shared" si="4"/>
        <v>12877</v>
      </c>
      <c r="Q58" s="4"/>
      <c r="R58" s="4"/>
      <c r="S58" s="4">
        <f t="shared" ref="S58:S70" si="12">SUM(Q58:R58)</f>
        <v>0</v>
      </c>
      <c r="T58" s="4">
        <v>0</v>
      </c>
      <c r="U58" s="4">
        <v>0</v>
      </c>
      <c r="V58" s="4">
        <v>0</v>
      </c>
      <c r="W58" s="4"/>
      <c r="X58" s="4"/>
      <c r="Y58" s="4"/>
      <c r="Z58" s="4"/>
      <c r="AA58" s="4"/>
      <c r="AB58" s="334" t="s">
        <v>561</v>
      </c>
      <c r="AC58" s="334">
        <v>742000</v>
      </c>
      <c r="AD58" s="335"/>
      <c r="AE58" s="335"/>
      <c r="AF58" s="335"/>
      <c r="AG58" s="335"/>
      <c r="AH58" s="335"/>
      <c r="AI58" s="335"/>
      <c r="AJ58" s="335"/>
      <c r="AK58" s="335"/>
      <c r="AL58" s="335"/>
      <c r="AM58" s="154">
        <v>0</v>
      </c>
      <c r="AN58" s="4">
        <v>0</v>
      </c>
      <c r="AO58" s="4">
        <v>0</v>
      </c>
      <c r="AP58" s="335"/>
      <c r="AQ58" s="335"/>
      <c r="AR58" s="335"/>
      <c r="AS58" s="335"/>
      <c r="AT58" s="335"/>
      <c r="AU58" s="4">
        <f t="shared" si="6"/>
        <v>0</v>
      </c>
      <c r="AV58" s="335"/>
      <c r="AW58" s="335"/>
      <c r="AX58" s="335"/>
      <c r="AY58" s="335"/>
      <c r="AZ58" s="335"/>
      <c r="BA58" s="299"/>
      <c r="BB58" s="299"/>
      <c r="BC58" s="299"/>
      <c r="BD58" s="299"/>
      <c r="BE58" s="299"/>
      <c r="BF58" s="299"/>
      <c r="BG58" s="299"/>
    </row>
    <row r="59" spans="1:59" s="5" customFormat="1" ht="31.95" customHeight="1">
      <c r="A59" s="3">
        <f t="shared" si="7"/>
        <v>55</v>
      </c>
      <c r="B59" s="28">
        <v>2190</v>
      </c>
      <c r="C59" s="3" t="s">
        <v>562</v>
      </c>
      <c r="D59" s="4">
        <v>250000</v>
      </c>
      <c r="E59" s="4">
        <v>250000</v>
      </c>
      <c r="F59" s="4">
        <f t="shared" si="8"/>
        <v>0</v>
      </c>
      <c r="G59" s="4">
        <v>0</v>
      </c>
      <c r="H59" s="4">
        <v>0</v>
      </c>
      <c r="I59" s="4">
        <v>0</v>
      </c>
      <c r="J59" s="4">
        <v>0</v>
      </c>
      <c r="K59" s="4">
        <f t="shared" si="1"/>
        <v>0</v>
      </c>
      <c r="L59" s="4">
        <f t="shared" si="9"/>
        <v>0</v>
      </c>
      <c r="M59" s="4">
        <f t="shared" si="10"/>
        <v>250000</v>
      </c>
      <c r="N59" s="4"/>
      <c r="O59" s="4">
        <f t="shared" si="11"/>
        <v>0</v>
      </c>
      <c r="P59" s="4">
        <f t="shared" si="4"/>
        <v>0</v>
      </c>
      <c r="Q59" s="4">
        <v>250000</v>
      </c>
      <c r="R59" s="4"/>
      <c r="S59" s="4">
        <f t="shared" si="12"/>
        <v>250000</v>
      </c>
      <c r="T59" s="4">
        <v>0</v>
      </c>
      <c r="U59" s="4">
        <v>0</v>
      </c>
      <c r="V59" s="4">
        <v>0</v>
      </c>
      <c r="W59" s="4"/>
      <c r="X59" s="4"/>
      <c r="Y59" s="4"/>
      <c r="Z59" s="4"/>
      <c r="AA59" s="4"/>
      <c r="AB59" s="334" t="s">
        <v>563</v>
      </c>
      <c r="AC59" s="334">
        <v>742000</v>
      </c>
      <c r="AD59" s="335"/>
      <c r="AE59" s="335"/>
      <c r="AF59" s="335"/>
      <c r="AG59" s="335"/>
      <c r="AH59" s="335"/>
      <c r="AI59" s="335"/>
      <c r="AJ59" s="335"/>
      <c r="AK59" s="335"/>
      <c r="AL59" s="335"/>
      <c r="AM59" s="154">
        <v>0</v>
      </c>
      <c r="AN59" s="4">
        <v>0</v>
      </c>
      <c r="AO59" s="4">
        <v>0</v>
      </c>
      <c r="AP59" s="335"/>
      <c r="AQ59" s="335"/>
      <c r="AR59" s="335"/>
      <c r="AS59" s="335"/>
      <c r="AT59" s="335"/>
      <c r="AU59" s="4">
        <f t="shared" si="6"/>
        <v>0</v>
      </c>
      <c r="AV59" s="335"/>
      <c r="AW59" s="335"/>
      <c r="AX59" s="335"/>
      <c r="AY59" s="335"/>
      <c r="AZ59" s="335"/>
      <c r="BA59" s="299"/>
      <c r="BB59" s="299"/>
      <c r="BC59" s="299"/>
      <c r="BD59" s="299"/>
      <c r="BE59" s="299"/>
      <c r="BF59" s="299"/>
      <c r="BG59" s="299"/>
    </row>
    <row r="60" spans="1:59" s="5" customFormat="1" ht="31.95" customHeight="1">
      <c r="A60" s="3">
        <f t="shared" si="7"/>
        <v>56</v>
      </c>
      <c r="B60" s="28">
        <v>2192</v>
      </c>
      <c r="C60" s="3" t="s">
        <v>565</v>
      </c>
      <c r="D60" s="4">
        <v>20400000</v>
      </c>
      <c r="E60" s="4">
        <v>20400000</v>
      </c>
      <c r="F60" s="4">
        <f t="shared" si="8"/>
        <v>0</v>
      </c>
      <c r="G60" s="4">
        <v>0</v>
      </c>
      <c r="H60" s="4">
        <v>0</v>
      </c>
      <c r="I60" s="4">
        <v>0</v>
      </c>
      <c r="J60" s="4">
        <v>0</v>
      </c>
      <c r="K60" s="4">
        <f t="shared" si="1"/>
        <v>0</v>
      </c>
      <c r="L60" s="4">
        <f t="shared" si="9"/>
        <v>0</v>
      </c>
      <c r="M60" s="4">
        <f t="shared" si="10"/>
        <v>100000</v>
      </c>
      <c r="N60" s="4">
        <f>500000-500000</f>
        <v>0</v>
      </c>
      <c r="O60" s="4">
        <f t="shared" si="11"/>
        <v>20300000</v>
      </c>
      <c r="P60" s="4">
        <f t="shared" si="4"/>
        <v>0</v>
      </c>
      <c r="Q60" s="4">
        <v>100000</v>
      </c>
      <c r="R60" s="4"/>
      <c r="S60" s="4">
        <f t="shared" si="12"/>
        <v>100000</v>
      </c>
      <c r="T60" s="4">
        <v>0</v>
      </c>
      <c r="U60" s="4">
        <v>0</v>
      </c>
      <c r="V60" s="4">
        <v>0</v>
      </c>
      <c r="W60" s="4"/>
      <c r="X60" s="4"/>
      <c r="Y60" s="4"/>
      <c r="Z60" s="4"/>
      <c r="AA60" s="4"/>
      <c r="AB60" s="3" t="s">
        <v>580</v>
      </c>
      <c r="AC60" s="3">
        <v>742000</v>
      </c>
      <c r="AD60" s="335"/>
      <c r="AE60" s="335"/>
      <c r="AF60" s="335"/>
      <c r="AG60" s="335"/>
      <c r="AH60" s="154"/>
      <c r="AI60" s="154"/>
      <c r="AJ60" s="154"/>
      <c r="AK60" s="154"/>
      <c r="AL60" s="154"/>
      <c r="AM60" s="154">
        <v>0</v>
      </c>
      <c r="AN60" s="4">
        <v>0</v>
      </c>
      <c r="AO60" s="4">
        <v>0</v>
      </c>
      <c r="AP60" s="335"/>
      <c r="AQ60" s="335"/>
      <c r="AR60" s="335"/>
      <c r="AS60" s="335"/>
      <c r="AT60" s="335"/>
      <c r="AU60" s="4">
        <f t="shared" si="6"/>
        <v>0</v>
      </c>
      <c r="AV60" s="335"/>
      <c r="AW60" s="335"/>
      <c r="AX60" s="335"/>
      <c r="AY60" s="335"/>
      <c r="AZ60" s="335"/>
      <c r="BA60" s="299"/>
      <c r="BB60" s="299"/>
      <c r="BC60" s="299"/>
      <c r="BD60" s="299"/>
      <c r="BE60" s="299"/>
      <c r="BF60" s="299"/>
      <c r="BG60" s="299"/>
    </row>
    <row r="61" spans="1:59" s="5" customFormat="1" ht="31.95" customHeight="1">
      <c r="A61" s="3">
        <f t="shared" si="7"/>
        <v>57</v>
      </c>
      <c r="B61" s="28">
        <v>2193</v>
      </c>
      <c r="C61" s="3" t="s">
        <v>566</v>
      </c>
      <c r="D61" s="4">
        <v>500000</v>
      </c>
      <c r="E61" s="4">
        <v>500000</v>
      </c>
      <c r="F61" s="4">
        <f t="shared" si="8"/>
        <v>0</v>
      </c>
      <c r="G61" s="4">
        <v>0</v>
      </c>
      <c r="H61" s="4">
        <v>0</v>
      </c>
      <c r="I61" s="4">
        <v>0</v>
      </c>
      <c r="J61" s="4">
        <v>0</v>
      </c>
      <c r="K61" s="4"/>
      <c r="L61" s="4">
        <f t="shared" si="9"/>
        <v>0</v>
      </c>
      <c r="M61" s="4">
        <f t="shared" si="10"/>
        <v>0</v>
      </c>
      <c r="N61" s="4">
        <v>200000</v>
      </c>
      <c r="O61" s="4">
        <f t="shared" si="11"/>
        <v>300000</v>
      </c>
      <c r="P61" s="4">
        <f t="shared" si="4"/>
        <v>0</v>
      </c>
      <c r="Q61" s="4"/>
      <c r="R61" s="4"/>
      <c r="S61" s="4">
        <f t="shared" si="12"/>
        <v>0</v>
      </c>
      <c r="T61" s="4">
        <v>0</v>
      </c>
      <c r="U61" s="4">
        <v>200000</v>
      </c>
      <c r="V61" s="4">
        <v>200000</v>
      </c>
      <c r="W61" s="4"/>
      <c r="X61" s="4"/>
      <c r="Y61" s="4"/>
      <c r="Z61" s="4"/>
      <c r="AA61" s="4"/>
      <c r="AB61" s="3" t="s">
        <v>616</v>
      </c>
      <c r="AC61" s="3">
        <v>742000</v>
      </c>
      <c r="AD61" s="335"/>
      <c r="AE61" s="335"/>
      <c r="AF61" s="335"/>
      <c r="AG61" s="335"/>
      <c r="AH61" s="154"/>
      <c r="AI61" s="154"/>
      <c r="AJ61" s="154"/>
      <c r="AK61" s="154"/>
      <c r="AL61" s="154"/>
      <c r="AM61" s="154">
        <v>0</v>
      </c>
      <c r="AN61" s="4">
        <v>200000</v>
      </c>
      <c r="AO61" s="4">
        <v>0</v>
      </c>
      <c r="AP61" s="335"/>
      <c r="AQ61" s="335"/>
      <c r="AR61" s="335"/>
      <c r="AS61" s="335"/>
      <c r="AT61" s="335"/>
      <c r="AU61" s="4">
        <f t="shared" si="6"/>
        <v>0</v>
      </c>
      <c r="AV61" s="335"/>
      <c r="AW61" s="335"/>
      <c r="AX61" s="335"/>
      <c r="AY61" s="335"/>
      <c r="AZ61" s="335"/>
      <c r="BA61" s="299"/>
      <c r="BB61" s="299"/>
      <c r="BC61" s="299"/>
      <c r="BD61" s="299"/>
      <c r="BE61" s="299"/>
      <c r="BF61" s="299"/>
      <c r="BG61" s="299"/>
    </row>
    <row r="62" spans="1:59" s="5" customFormat="1" ht="31.95" customHeight="1">
      <c r="A62" s="3">
        <f t="shared" si="7"/>
        <v>58</v>
      </c>
      <c r="B62" s="28">
        <v>2195</v>
      </c>
      <c r="C62" s="3" t="s">
        <v>568</v>
      </c>
      <c r="D62" s="4">
        <v>2300000</v>
      </c>
      <c r="E62" s="4">
        <v>2300000</v>
      </c>
      <c r="F62" s="4">
        <f t="shared" si="8"/>
        <v>0</v>
      </c>
      <c r="G62" s="4">
        <v>0</v>
      </c>
      <c r="H62" s="4">
        <v>0</v>
      </c>
      <c r="I62" s="4">
        <v>0</v>
      </c>
      <c r="J62" s="4">
        <v>0</v>
      </c>
      <c r="K62" s="4">
        <f t="shared" ref="K62:K67" si="13">SUM(I62:J62)</f>
        <v>0</v>
      </c>
      <c r="L62" s="4">
        <f t="shared" si="9"/>
        <v>0</v>
      </c>
      <c r="M62" s="4">
        <f t="shared" si="10"/>
        <v>0</v>
      </c>
      <c r="N62" s="4">
        <v>100000</v>
      </c>
      <c r="O62" s="4">
        <f t="shared" si="11"/>
        <v>2200000</v>
      </c>
      <c r="P62" s="4">
        <f t="shared" si="4"/>
        <v>0</v>
      </c>
      <c r="Q62" s="4"/>
      <c r="R62" s="4"/>
      <c r="S62" s="4">
        <f t="shared" si="12"/>
        <v>0</v>
      </c>
      <c r="T62" s="4">
        <v>0</v>
      </c>
      <c r="U62" s="4">
        <v>100000</v>
      </c>
      <c r="V62" s="4">
        <v>100000</v>
      </c>
      <c r="W62" s="4"/>
      <c r="X62" s="4"/>
      <c r="Y62" s="4"/>
      <c r="Z62" s="4"/>
      <c r="AA62" s="4"/>
      <c r="AB62" s="3" t="s">
        <v>617</v>
      </c>
      <c r="AC62" s="3">
        <v>742000</v>
      </c>
      <c r="AD62" s="335"/>
      <c r="AE62" s="335"/>
      <c r="AF62" s="335"/>
      <c r="AG62" s="335"/>
      <c r="AH62" s="154"/>
      <c r="AI62" s="154"/>
      <c r="AJ62" s="154"/>
      <c r="AK62" s="154"/>
      <c r="AL62" s="154"/>
      <c r="AM62" s="154">
        <v>0</v>
      </c>
      <c r="AN62" s="4">
        <v>100000</v>
      </c>
      <c r="AO62" s="4">
        <v>0</v>
      </c>
      <c r="AP62" s="335"/>
      <c r="AQ62" s="335"/>
      <c r="AR62" s="335"/>
      <c r="AS62" s="335"/>
      <c r="AT62" s="335"/>
      <c r="AU62" s="4">
        <f t="shared" si="6"/>
        <v>0</v>
      </c>
      <c r="AV62" s="335"/>
      <c r="AW62" s="335"/>
      <c r="AX62" s="335"/>
      <c r="AY62" s="335"/>
      <c r="AZ62" s="335"/>
      <c r="BA62" s="299"/>
      <c r="BB62" s="299"/>
      <c r="BC62" s="299"/>
      <c r="BD62" s="299"/>
      <c r="BE62" s="299"/>
      <c r="BF62" s="299"/>
      <c r="BG62" s="299"/>
    </row>
    <row r="63" spans="1:59" s="5" customFormat="1" ht="31.95" customHeight="1">
      <c r="A63" s="3">
        <f t="shared" si="7"/>
        <v>59</v>
      </c>
      <c r="B63" s="28">
        <v>2199</v>
      </c>
      <c r="C63" s="3" t="s">
        <v>572</v>
      </c>
      <c r="D63" s="4">
        <v>1000000</v>
      </c>
      <c r="E63" s="4">
        <v>1000000</v>
      </c>
      <c r="F63" s="4">
        <f t="shared" si="8"/>
        <v>0</v>
      </c>
      <c r="G63" s="4">
        <v>50000</v>
      </c>
      <c r="H63" s="4">
        <v>0</v>
      </c>
      <c r="I63" s="4">
        <v>0</v>
      </c>
      <c r="J63" s="4">
        <v>0</v>
      </c>
      <c r="K63" s="4">
        <f t="shared" si="13"/>
        <v>0</v>
      </c>
      <c r="L63" s="4">
        <f t="shared" si="9"/>
        <v>0</v>
      </c>
      <c r="M63" s="4">
        <f t="shared" si="10"/>
        <v>150000</v>
      </c>
      <c r="N63" s="4">
        <f>200000-50000-50000</f>
        <v>100000</v>
      </c>
      <c r="O63" s="4">
        <f t="shared" si="11"/>
        <v>750000</v>
      </c>
      <c r="P63" s="4">
        <f t="shared" si="4"/>
        <v>50000</v>
      </c>
      <c r="Q63" s="4">
        <v>100000</v>
      </c>
      <c r="R63" s="4"/>
      <c r="S63" s="4">
        <f t="shared" si="12"/>
        <v>100000</v>
      </c>
      <c r="T63" s="4">
        <v>0</v>
      </c>
      <c r="U63" s="4">
        <v>100000</v>
      </c>
      <c r="V63" s="4">
        <v>100000</v>
      </c>
      <c r="W63" s="4"/>
      <c r="X63" s="4"/>
      <c r="Y63" s="4"/>
      <c r="Z63" s="4"/>
      <c r="AA63" s="4"/>
      <c r="AB63" s="3" t="s">
        <v>813</v>
      </c>
      <c r="AC63" s="3">
        <v>732000</v>
      </c>
      <c r="AD63" s="335"/>
      <c r="AE63" s="335"/>
      <c r="AF63" s="335"/>
      <c r="AG63" s="335"/>
      <c r="AH63" s="154"/>
      <c r="AI63" s="154"/>
      <c r="AJ63" s="154"/>
      <c r="AK63" s="154"/>
      <c r="AL63" s="154"/>
      <c r="AM63" s="154">
        <v>0</v>
      </c>
      <c r="AN63" s="4">
        <v>100000</v>
      </c>
      <c r="AO63" s="4">
        <v>0</v>
      </c>
      <c r="AP63" s="335"/>
      <c r="AQ63" s="335"/>
      <c r="AR63" s="335"/>
      <c r="AS63" s="335"/>
      <c r="AT63" s="335"/>
      <c r="AU63" s="4">
        <f t="shared" si="6"/>
        <v>0</v>
      </c>
      <c r="AV63" s="335"/>
      <c r="AW63" s="335"/>
      <c r="AX63" s="335"/>
      <c r="AY63" s="335"/>
      <c r="AZ63" s="335"/>
      <c r="BA63" s="299"/>
      <c r="BB63" s="299"/>
      <c r="BC63" s="299"/>
      <c r="BD63" s="299"/>
      <c r="BE63" s="299"/>
      <c r="BF63" s="299"/>
      <c r="BG63" s="299"/>
    </row>
    <row r="64" spans="1:59" s="5" customFormat="1" ht="31.95" customHeight="1">
      <c r="A64" s="3">
        <f t="shared" si="7"/>
        <v>60</v>
      </c>
      <c r="B64" s="28">
        <v>2200</v>
      </c>
      <c r="C64" s="3" t="s">
        <v>573</v>
      </c>
      <c r="D64" s="4">
        <v>1700000</v>
      </c>
      <c r="E64" s="4">
        <v>1700000</v>
      </c>
      <c r="F64" s="4">
        <f t="shared" si="8"/>
        <v>0</v>
      </c>
      <c r="G64" s="4">
        <v>0</v>
      </c>
      <c r="H64" s="4">
        <v>0</v>
      </c>
      <c r="I64" s="4">
        <v>0</v>
      </c>
      <c r="J64" s="4">
        <v>0</v>
      </c>
      <c r="K64" s="4">
        <f t="shared" si="13"/>
        <v>0</v>
      </c>
      <c r="L64" s="4">
        <f t="shared" si="9"/>
        <v>0</v>
      </c>
      <c r="M64" s="4">
        <f t="shared" si="10"/>
        <v>150000</v>
      </c>
      <c r="N64" s="4">
        <f>350000-50000</f>
        <v>300000</v>
      </c>
      <c r="O64" s="4">
        <f t="shared" si="11"/>
        <v>1250000</v>
      </c>
      <c r="P64" s="4">
        <f t="shared" si="4"/>
        <v>0</v>
      </c>
      <c r="Q64" s="4">
        <v>150000</v>
      </c>
      <c r="R64" s="4"/>
      <c r="S64" s="4">
        <f t="shared" si="12"/>
        <v>150000</v>
      </c>
      <c r="T64" s="4">
        <v>0</v>
      </c>
      <c r="U64" s="4">
        <v>300000</v>
      </c>
      <c r="V64" s="4">
        <v>300000</v>
      </c>
      <c r="W64" s="4"/>
      <c r="X64" s="4"/>
      <c r="Y64" s="4"/>
      <c r="Z64" s="4"/>
      <c r="AA64" s="4"/>
      <c r="AB64" s="3" t="s">
        <v>618</v>
      </c>
      <c r="AC64" s="3">
        <v>732000</v>
      </c>
      <c r="AD64" s="335"/>
      <c r="AE64" s="335"/>
      <c r="AF64" s="335"/>
      <c r="AG64" s="335"/>
      <c r="AH64" s="154"/>
      <c r="AI64" s="154"/>
      <c r="AJ64" s="154"/>
      <c r="AK64" s="154"/>
      <c r="AL64" s="154"/>
      <c r="AM64" s="154">
        <v>0</v>
      </c>
      <c r="AN64" s="4">
        <v>300000</v>
      </c>
      <c r="AO64" s="4">
        <v>0</v>
      </c>
      <c r="AP64" s="335"/>
      <c r="AQ64" s="335"/>
      <c r="AR64" s="335"/>
      <c r="AS64" s="335"/>
      <c r="AT64" s="335"/>
      <c r="AU64" s="4">
        <f t="shared" si="6"/>
        <v>0</v>
      </c>
      <c r="AV64" s="335"/>
      <c r="AW64" s="335"/>
      <c r="AX64" s="335"/>
      <c r="AY64" s="335"/>
      <c r="AZ64" s="335"/>
      <c r="BA64" s="299"/>
      <c r="BB64" s="299"/>
      <c r="BC64" s="299"/>
      <c r="BD64" s="299"/>
      <c r="BE64" s="299"/>
      <c r="BF64" s="299"/>
      <c r="BG64" s="299"/>
    </row>
    <row r="65" spans="1:59" s="5" customFormat="1" ht="31.95" customHeight="1">
      <c r="A65" s="3">
        <f t="shared" si="7"/>
        <v>61</v>
      </c>
      <c r="B65" s="28">
        <v>2232</v>
      </c>
      <c r="C65" s="3" t="s">
        <v>1339</v>
      </c>
      <c r="D65" s="4">
        <v>17200000</v>
      </c>
      <c r="E65" s="4">
        <v>17200000</v>
      </c>
      <c r="F65" s="4">
        <f t="shared" si="8"/>
        <v>0</v>
      </c>
      <c r="G65" s="4">
        <v>500000</v>
      </c>
      <c r="H65" s="4">
        <v>0</v>
      </c>
      <c r="I65" s="4">
        <v>0</v>
      </c>
      <c r="J65" s="4">
        <v>0</v>
      </c>
      <c r="K65" s="4">
        <f t="shared" si="13"/>
        <v>0</v>
      </c>
      <c r="L65" s="4">
        <f t="shared" si="9"/>
        <v>0</v>
      </c>
      <c r="M65" s="4">
        <f>P65+S65-500000</f>
        <v>0</v>
      </c>
      <c r="N65" s="4">
        <v>500000</v>
      </c>
      <c r="O65" s="4">
        <f t="shared" si="11"/>
        <v>16700000</v>
      </c>
      <c r="P65" s="4">
        <f t="shared" si="4"/>
        <v>500000</v>
      </c>
      <c r="Q65" s="4"/>
      <c r="R65" s="4"/>
      <c r="S65" s="4">
        <f t="shared" si="12"/>
        <v>0</v>
      </c>
      <c r="T65" s="4">
        <v>500000</v>
      </c>
      <c r="U65" s="4">
        <v>0</v>
      </c>
      <c r="V65" s="4">
        <v>0</v>
      </c>
      <c r="W65" s="4"/>
      <c r="X65" s="4"/>
      <c r="Y65" s="4"/>
      <c r="Z65" s="4"/>
      <c r="AA65" s="4"/>
      <c r="AB65" s="3" t="s">
        <v>683</v>
      </c>
      <c r="AC65" s="3">
        <v>745000</v>
      </c>
      <c r="AD65" s="335"/>
      <c r="AE65" s="335"/>
      <c r="AF65" s="335"/>
      <c r="AG65" s="335"/>
      <c r="AH65" s="154"/>
      <c r="AI65" s="154"/>
      <c r="AJ65" s="154"/>
      <c r="AK65" s="154"/>
      <c r="AL65" s="154"/>
      <c r="AM65" s="154">
        <v>0</v>
      </c>
      <c r="AN65" s="4">
        <v>0</v>
      </c>
      <c r="AO65" s="4">
        <v>0</v>
      </c>
      <c r="AP65" s="335"/>
      <c r="AQ65" s="335"/>
      <c r="AR65" s="335"/>
      <c r="AS65" s="335"/>
      <c r="AT65" s="335"/>
      <c r="AU65" s="4">
        <f t="shared" si="6"/>
        <v>0</v>
      </c>
      <c r="AV65" s="335"/>
      <c r="AW65" s="335"/>
      <c r="AX65" s="335"/>
      <c r="AY65" s="335"/>
      <c r="AZ65" s="335"/>
      <c r="BA65" s="299"/>
      <c r="BB65" s="299"/>
      <c r="BC65" s="299"/>
      <c r="BD65" s="299"/>
      <c r="BE65" s="299"/>
      <c r="BF65" s="299"/>
      <c r="BG65" s="299"/>
    </row>
    <row r="66" spans="1:59" s="5" customFormat="1" ht="31.95" customHeight="1">
      <c r="A66" s="3">
        <f t="shared" si="7"/>
        <v>62</v>
      </c>
      <c r="B66" s="28">
        <v>2233</v>
      </c>
      <c r="C66" s="3" t="s">
        <v>1340</v>
      </c>
      <c r="D66" s="4">
        <v>20250000</v>
      </c>
      <c r="E66" s="4">
        <v>20250000</v>
      </c>
      <c r="F66" s="4">
        <f t="shared" si="8"/>
        <v>0</v>
      </c>
      <c r="G66" s="4">
        <v>500000</v>
      </c>
      <c r="H66" s="4">
        <v>0</v>
      </c>
      <c r="I66" s="4">
        <v>0</v>
      </c>
      <c r="J66" s="4">
        <v>0</v>
      </c>
      <c r="K66" s="4">
        <f t="shared" si="13"/>
        <v>0</v>
      </c>
      <c r="L66" s="4">
        <f t="shared" si="9"/>
        <v>0</v>
      </c>
      <c r="M66" s="4">
        <f>P66+S66-500000</f>
        <v>0</v>
      </c>
      <c r="N66" s="4">
        <v>500000</v>
      </c>
      <c r="O66" s="4">
        <f t="shared" si="11"/>
        <v>19750000</v>
      </c>
      <c r="P66" s="4">
        <f t="shared" si="4"/>
        <v>500000</v>
      </c>
      <c r="Q66" s="4"/>
      <c r="R66" s="4"/>
      <c r="S66" s="4">
        <f t="shared" si="12"/>
        <v>0</v>
      </c>
      <c r="T66" s="4">
        <v>500000</v>
      </c>
      <c r="U66" s="4">
        <v>0</v>
      </c>
      <c r="V66" s="4">
        <v>0</v>
      </c>
      <c r="W66" s="4"/>
      <c r="X66" s="4"/>
      <c r="Y66" s="4"/>
      <c r="Z66" s="4"/>
      <c r="AA66" s="4"/>
      <c r="AB66" s="3" t="s">
        <v>684</v>
      </c>
      <c r="AC66" s="3">
        <v>745000</v>
      </c>
      <c r="AD66" s="335"/>
      <c r="AE66" s="335"/>
      <c r="AF66" s="335"/>
      <c r="AG66" s="335"/>
      <c r="AH66" s="154"/>
      <c r="AI66" s="154"/>
      <c r="AJ66" s="154"/>
      <c r="AK66" s="154"/>
      <c r="AL66" s="154"/>
      <c r="AM66" s="154">
        <v>0</v>
      </c>
      <c r="AN66" s="4">
        <v>0</v>
      </c>
      <c r="AO66" s="4">
        <v>0</v>
      </c>
      <c r="AP66" s="335"/>
      <c r="AQ66" s="335"/>
      <c r="AR66" s="335"/>
      <c r="AS66" s="335"/>
      <c r="AT66" s="335"/>
      <c r="AU66" s="4">
        <f t="shared" si="6"/>
        <v>0</v>
      </c>
      <c r="AV66" s="335"/>
      <c r="AW66" s="335"/>
      <c r="AX66" s="335"/>
      <c r="AY66" s="335"/>
      <c r="AZ66" s="335"/>
      <c r="BA66" s="299"/>
      <c r="BB66" s="299"/>
      <c r="BC66" s="299"/>
      <c r="BD66" s="299"/>
      <c r="BE66" s="299"/>
      <c r="BF66" s="299"/>
      <c r="BG66" s="299"/>
    </row>
    <row r="67" spans="1:59" s="5" customFormat="1" ht="31.95" customHeight="1">
      <c r="A67" s="3">
        <f t="shared" si="7"/>
        <v>63</v>
      </c>
      <c r="B67" s="28">
        <v>20000</v>
      </c>
      <c r="C67" s="3" t="s">
        <v>688</v>
      </c>
      <c r="D67" s="4">
        <v>2500000</v>
      </c>
      <c r="E67" s="4"/>
      <c r="F67" s="4">
        <f t="shared" si="8"/>
        <v>2500000</v>
      </c>
      <c r="G67" s="4">
        <v>0</v>
      </c>
      <c r="H67" s="4">
        <v>0</v>
      </c>
      <c r="I67" s="4">
        <v>0</v>
      </c>
      <c r="J67" s="4">
        <v>0</v>
      </c>
      <c r="K67" s="4">
        <f t="shared" si="13"/>
        <v>0</v>
      </c>
      <c r="L67" s="4">
        <f t="shared" si="9"/>
        <v>0</v>
      </c>
      <c r="M67" s="4">
        <f>P67+S67</f>
        <v>0</v>
      </c>
      <c r="N67" s="4">
        <f>1500000-700000-200000-300000</f>
        <v>300000</v>
      </c>
      <c r="O67" s="4">
        <f t="shared" si="11"/>
        <v>2200000</v>
      </c>
      <c r="P67" s="4">
        <f t="shared" si="4"/>
        <v>0</v>
      </c>
      <c r="Q67" s="4"/>
      <c r="R67" s="4"/>
      <c r="S67" s="4">
        <f t="shared" si="12"/>
        <v>0</v>
      </c>
      <c r="T67" s="4">
        <v>0</v>
      </c>
      <c r="U67" s="4">
        <v>300000</v>
      </c>
      <c r="V67" s="4">
        <v>300000</v>
      </c>
      <c r="W67" s="4"/>
      <c r="X67" s="4"/>
      <c r="Y67" s="4"/>
      <c r="Z67" s="4"/>
      <c r="AA67" s="4"/>
      <c r="AB67" s="3" t="s">
        <v>971</v>
      </c>
      <c r="AC67" s="3">
        <v>732000</v>
      </c>
      <c r="AD67" s="335"/>
      <c r="AE67" s="335"/>
      <c r="AF67" s="335"/>
      <c r="AG67" s="335"/>
      <c r="AH67" s="154"/>
      <c r="AI67" s="154"/>
      <c r="AJ67" s="154"/>
      <c r="AK67" s="154"/>
      <c r="AL67" s="154"/>
      <c r="AM67" s="154">
        <v>0</v>
      </c>
      <c r="AN67" s="4">
        <v>300000</v>
      </c>
      <c r="AO67" s="4">
        <v>0</v>
      </c>
      <c r="AP67" s="335"/>
      <c r="AQ67" s="335"/>
      <c r="AR67" s="335"/>
      <c r="AS67" s="335"/>
      <c r="AT67" s="335"/>
      <c r="AU67" s="4">
        <f t="shared" si="6"/>
        <v>0</v>
      </c>
      <c r="AV67" s="335"/>
      <c r="AW67" s="335"/>
      <c r="AX67" s="335"/>
      <c r="AY67" s="335"/>
      <c r="AZ67" s="335"/>
      <c r="BA67" s="299"/>
      <c r="BB67" s="299"/>
      <c r="BC67" s="299"/>
      <c r="BD67" s="299"/>
      <c r="BE67" s="299"/>
      <c r="BF67" s="299"/>
      <c r="BG67" s="299"/>
    </row>
    <row r="68" spans="1:59" s="5" customFormat="1" ht="31.95" customHeight="1">
      <c r="A68" s="3">
        <f t="shared" si="7"/>
        <v>64</v>
      </c>
      <c r="B68" s="28">
        <v>20001</v>
      </c>
      <c r="C68" s="3" t="s">
        <v>784</v>
      </c>
      <c r="D68" s="4">
        <v>3200000</v>
      </c>
      <c r="E68" s="4"/>
      <c r="F68" s="4">
        <f t="shared" si="8"/>
        <v>3200000</v>
      </c>
      <c r="G68" s="4">
        <v>0</v>
      </c>
      <c r="H68" s="4">
        <v>0</v>
      </c>
      <c r="I68" s="4">
        <v>0</v>
      </c>
      <c r="J68" s="4">
        <v>0</v>
      </c>
      <c r="K68" s="4">
        <f>SUM(I68:J68)</f>
        <v>0</v>
      </c>
      <c r="L68" s="4">
        <f t="shared" si="9"/>
        <v>0</v>
      </c>
      <c r="M68" s="4">
        <f>P68+S68</f>
        <v>0</v>
      </c>
      <c r="N68" s="4">
        <f>3200000-2700000-100000</f>
        <v>400000</v>
      </c>
      <c r="O68" s="4">
        <f t="shared" si="11"/>
        <v>2800000</v>
      </c>
      <c r="P68" s="4">
        <f t="shared" si="4"/>
        <v>0</v>
      </c>
      <c r="Q68" s="4"/>
      <c r="R68" s="4"/>
      <c r="S68" s="4">
        <f t="shared" si="12"/>
        <v>0</v>
      </c>
      <c r="T68" s="4">
        <v>0</v>
      </c>
      <c r="U68" s="4">
        <v>400000</v>
      </c>
      <c r="V68" s="4">
        <v>400000</v>
      </c>
      <c r="W68" s="4"/>
      <c r="X68" s="4"/>
      <c r="Y68" s="4"/>
      <c r="Z68" s="4"/>
      <c r="AA68" s="4"/>
      <c r="AB68" s="3" t="s">
        <v>972</v>
      </c>
      <c r="AC68" s="3">
        <v>742000</v>
      </c>
      <c r="AD68" s="335"/>
      <c r="AE68" s="335"/>
      <c r="AF68" s="335"/>
      <c r="AG68" s="335"/>
      <c r="AH68" s="154">
        <v>100000</v>
      </c>
      <c r="AI68" s="154"/>
      <c r="AJ68" s="154"/>
      <c r="AK68" s="154"/>
      <c r="AL68" s="438">
        <v>50000</v>
      </c>
      <c r="AM68" s="154">
        <v>150000</v>
      </c>
      <c r="AN68" s="4">
        <v>250000</v>
      </c>
      <c r="AO68" s="4">
        <v>150000</v>
      </c>
      <c r="AP68" s="335"/>
      <c r="AQ68" s="335"/>
      <c r="AR68" s="335"/>
      <c r="AS68" s="335"/>
      <c r="AT68" s="335"/>
      <c r="AU68" s="4">
        <f t="shared" si="6"/>
        <v>50000</v>
      </c>
      <c r="AV68" s="335"/>
      <c r="AW68" s="335"/>
      <c r="AX68" s="335"/>
      <c r="AY68" s="335"/>
      <c r="AZ68" s="335"/>
      <c r="BA68" s="299"/>
      <c r="BB68" s="299"/>
      <c r="BC68" s="299"/>
      <c r="BD68" s="299"/>
      <c r="BE68" s="299"/>
      <c r="BF68" s="299"/>
      <c r="BG68" s="299"/>
    </row>
    <row r="69" spans="1:59" s="5" customFormat="1" ht="31.95" customHeight="1">
      <c r="A69" s="3">
        <f t="shared" si="7"/>
        <v>65</v>
      </c>
      <c r="B69" s="28">
        <v>20002</v>
      </c>
      <c r="C69" s="3" t="s">
        <v>689</v>
      </c>
      <c r="D69" s="4">
        <v>1500000</v>
      </c>
      <c r="E69" s="4"/>
      <c r="F69" s="4">
        <f t="shared" si="8"/>
        <v>1500000</v>
      </c>
      <c r="G69" s="4">
        <v>0</v>
      </c>
      <c r="H69" s="4">
        <v>0</v>
      </c>
      <c r="I69" s="4">
        <v>0</v>
      </c>
      <c r="J69" s="4">
        <v>0</v>
      </c>
      <c r="K69" s="4">
        <f>SUM(I69:J69)</f>
        <v>0</v>
      </c>
      <c r="L69" s="4">
        <f t="shared" si="9"/>
        <v>0</v>
      </c>
      <c r="M69" s="4">
        <f>P69+S69</f>
        <v>0</v>
      </c>
      <c r="N69" s="4">
        <f>1500000-750000</f>
        <v>750000</v>
      </c>
      <c r="O69" s="4">
        <f t="shared" si="11"/>
        <v>750000</v>
      </c>
      <c r="P69" s="4">
        <f>G69-L69</f>
        <v>0</v>
      </c>
      <c r="Q69" s="4"/>
      <c r="R69" s="4"/>
      <c r="S69" s="4">
        <f t="shared" si="12"/>
        <v>0</v>
      </c>
      <c r="T69" s="4">
        <v>0</v>
      </c>
      <c r="U69" s="4">
        <v>750000</v>
      </c>
      <c r="V69" s="4">
        <v>750000</v>
      </c>
      <c r="W69" s="4"/>
      <c r="X69" s="4"/>
      <c r="Y69" s="4"/>
      <c r="Z69" s="4"/>
      <c r="AA69" s="4"/>
      <c r="AB69" s="3" t="s">
        <v>785</v>
      </c>
      <c r="AC69" s="3">
        <v>742000</v>
      </c>
      <c r="AD69" s="335"/>
      <c r="AE69" s="335"/>
      <c r="AF69" s="335"/>
      <c r="AG69" s="335"/>
      <c r="AH69" s="335"/>
      <c r="AI69" s="335"/>
      <c r="AJ69" s="335"/>
      <c r="AK69" s="335"/>
      <c r="AL69" s="438">
        <v>100000</v>
      </c>
      <c r="AM69" s="154">
        <v>100000</v>
      </c>
      <c r="AN69" s="4">
        <v>650000</v>
      </c>
      <c r="AO69" s="4">
        <v>100000</v>
      </c>
      <c r="AP69" s="335"/>
      <c r="AQ69" s="335"/>
      <c r="AR69" s="335"/>
      <c r="AS69" s="335"/>
      <c r="AT69" s="335"/>
      <c r="AU69" s="4">
        <f t="shared" si="6"/>
        <v>100000</v>
      </c>
      <c r="AV69" s="335"/>
      <c r="AW69" s="335"/>
      <c r="AX69" s="335"/>
      <c r="AY69" s="335"/>
      <c r="AZ69" s="335"/>
      <c r="BA69" s="299"/>
      <c r="BB69" s="299"/>
      <c r="BC69" s="299"/>
      <c r="BD69" s="299"/>
      <c r="BE69" s="299"/>
      <c r="BF69" s="299"/>
      <c r="BG69" s="299"/>
    </row>
    <row r="70" spans="1:59" s="5" customFormat="1" ht="31.95" customHeight="1">
      <c r="A70" s="3">
        <f t="shared" si="7"/>
        <v>66</v>
      </c>
      <c r="B70" s="28">
        <v>20003</v>
      </c>
      <c r="C70" s="3" t="s">
        <v>1208</v>
      </c>
      <c r="D70" s="4">
        <v>5300000</v>
      </c>
      <c r="E70" s="4"/>
      <c r="F70" s="4">
        <f t="shared" si="8"/>
        <v>5300000</v>
      </c>
      <c r="G70" s="4">
        <v>0</v>
      </c>
      <c r="H70" s="4">
        <v>0</v>
      </c>
      <c r="I70" s="4">
        <v>0</v>
      </c>
      <c r="J70" s="4">
        <v>0</v>
      </c>
      <c r="K70" s="4">
        <f>SUM(I70:J70)</f>
        <v>0</v>
      </c>
      <c r="L70" s="4">
        <f t="shared" si="9"/>
        <v>0</v>
      </c>
      <c r="M70" s="4">
        <f>P70+S70</f>
        <v>0</v>
      </c>
      <c r="N70" s="4">
        <f>500000-200000</f>
        <v>300000</v>
      </c>
      <c r="O70" s="4">
        <f t="shared" si="11"/>
        <v>5000000</v>
      </c>
      <c r="P70" s="4">
        <f>G70-L70</f>
        <v>0</v>
      </c>
      <c r="Q70" s="4"/>
      <c r="R70" s="4"/>
      <c r="S70" s="4">
        <f t="shared" si="12"/>
        <v>0</v>
      </c>
      <c r="T70" s="4">
        <v>0</v>
      </c>
      <c r="U70" s="4">
        <v>300000</v>
      </c>
      <c r="V70" s="4">
        <v>300000</v>
      </c>
      <c r="W70" s="4"/>
      <c r="X70" s="4"/>
      <c r="Y70" s="4"/>
      <c r="Z70" s="4"/>
      <c r="AA70" s="4"/>
      <c r="AB70" s="3" t="s">
        <v>973</v>
      </c>
      <c r="AC70" s="3">
        <v>742000</v>
      </c>
      <c r="AD70" s="335"/>
      <c r="AE70" s="335"/>
      <c r="AF70" s="335"/>
      <c r="AG70" s="335"/>
      <c r="AH70" s="335"/>
      <c r="AI70" s="335"/>
      <c r="AJ70" s="335"/>
      <c r="AK70" s="335"/>
      <c r="AL70" s="335"/>
      <c r="AM70" s="154">
        <v>0</v>
      </c>
      <c r="AN70" s="4">
        <v>300000</v>
      </c>
      <c r="AO70" s="4">
        <v>0</v>
      </c>
      <c r="AP70" s="335"/>
      <c r="AQ70" s="335"/>
      <c r="AR70" s="335"/>
      <c r="AS70" s="335"/>
      <c r="AT70" s="335"/>
      <c r="AU70" s="4">
        <f t="shared" ref="AU70:AU76" si="14">AL70-AZ70</f>
        <v>0</v>
      </c>
      <c r="AV70" s="335"/>
      <c r="AW70" s="335"/>
      <c r="AX70" s="335"/>
      <c r="AY70" s="335"/>
      <c r="AZ70" s="335"/>
      <c r="BA70" s="299"/>
      <c r="BB70" s="299"/>
      <c r="BC70" s="299"/>
      <c r="BD70" s="299"/>
      <c r="BE70" s="299"/>
      <c r="BF70" s="299"/>
      <c r="BG70" s="299"/>
    </row>
    <row r="71" spans="1:59" s="5" customFormat="1" ht="31.95" customHeight="1">
      <c r="A71" s="3">
        <f t="shared" ref="A71:A76" si="15">A70+1</f>
        <v>67</v>
      </c>
      <c r="B71" s="28">
        <v>20004</v>
      </c>
      <c r="C71" s="3" t="s">
        <v>1341</v>
      </c>
      <c r="D71" s="4">
        <v>24750000</v>
      </c>
      <c r="E71" s="4"/>
      <c r="F71" s="4">
        <f t="shared" si="8"/>
        <v>24750000</v>
      </c>
      <c r="G71" s="4"/>
      <c r="H71" s="4"/>
      <c r="I71" s="4"/>
      <c r="J71" s="4"/>
      <c r="K71" s="4"/>
      <c r="L71" s="4"/>
      <c r="M71" s="4"/>
      <c r="N71" s="4">
        <f>1500000-1000000</f>
        <v>500000</v>
      </c>
      <c r="O71" s="4">
        <f t="shared" si="11"/>
        <v>24250000</v>
      </c>
      <c r="P71" s="4"/>
      <c r="Q71" s="4"/>
      <c r="R71" s="4"/>
      <c r="S71" s="4"/>
      <c r="T71" s="4"/>
      <c r="U71" s="4">
        <v>500000</v>
      </c>
      <c r="V71" s="4">
        <v>500000</v>
      </c>
      <c r="W71" s="4"/>
      <c r="X71" s="4"/>
      <c r="Y71" s="4"/>
      <c r="Z71" s="4"/>
      <c r="AA71" s="4"/>
      <c r="AB71" s="3" t="s">
        <v>691</v>
      </c>
      <c r="AC71" s="3">
        <v>742000</v>
      </c>
      <c r="AD71" s="335"/>
      <c r="AE71" s="335"/>
      <c r="AF71" s="335"/>
      <c r="AG71" s="335"/>
      <c r="AH71" s="335"/>
      <c r="AI71" s="335"/>
      <c r="AJ71" s="335"/>
      <c r="AK71" s="335"/>
      <c r="AL71" s="438">
        <v>250000</v>
      </c>
      <c r="AM71" s="154">
        <v>250000</v>
      </c>
      <c r="AN71" s="4">
        <v>250000</v>
      </c>
      <c r="AO71" s="4">
        <v>250000</v>
      </c>
      <c r="AP71" s="335"/>
      <c r="AQ71" s="335"/>
      <c r="AR71" s="335"/>
      <c r="AS71" s="335"/>
      <c r="AT71" s="335"/>
      <c r="AU71" s="4">
        <f t="shared" si="14"/>
        <v>250000</v>
      </c>
      <c r="AV71" s="335"/>
      <c r="AW71" s="335"/>
      <c r="AX71" s="335"/>
      <c r="AY71" s="335"/>
      <c r="AZ71" s="335"/>
      <c r="BA71" s="299"/>
      <c r="BB71" s="299"/>
      <c r="BC71" s="299"/>
      <c r="BD71" s="299"/>
      <c r="BE71" s="299"/>
      <c r="BF71" s="299"/>
      <c r="BG71" s="299"/>
    </row>
    <row r="72" spans="1:59" s="5" customFormat="1" ht="31.95" customHeight="1">
      <c r="A72" s="3">
        <f t="shared" si="15"/>
        <v>68</v>
      </c>
      <c r="B72" s="28">
        <v>20005</v>
      </c>
      <c r="C72" s="3" t="s">
        <v>692</v>
      </c>
      <c r="D72" s="4">
        <v>1685000</v>
      </c>
      <c r="E72" s="4"/>
      <c r="F72" s="4">
        <f t="shared" si="8"/>
        <v>1685000</v>
      </c>
      <c r="G72" s="4"/>
      <c r="H72" s="4"/>
      <c r="I72" s="4"/>
      <c r="J72" s="4"/>
      <c r="K72" s="4"/>
      <c r="L72" s="4"/>
      <c r="M72" s="4"/>
      <c r="N72" s="4">
        <f>1685000-1185000</f>
        <v>500000</v>
      </c>
      <c r="O72" s="4">
        <f t="shared" si="11"/>
        <v>1185000</v>
      </c>
      <c r="P72" s="4"/>
      <c r="Q72" s="4"/>
      <c r="R72" s="4"/>
      <c r="S72" s="4"/>
      <c r="T72" s="4"/>
      <c r="U72" s="4">
        <v>500000</v>
      </c>
      <c r="V72" s="4">
        <v>500000</v>
      </c>
      <c r="W72" s="4"/>
      <c r="X72" s="4"/>
      <c r="Y72" s="4"/>
      <c r="Z72" s="4"/>
      <c r="AA72" s="4"/>
      <c r="AB72" s="3" t="s">
        <v>693</v>
      </c>
      <c r="AC72" s="3">
        <v>746000</v>
      </c>
      <c r="AD72" s="335"/>
      <c r="AE72" s="335"/>
      <c r="AF72" s="335"/>
      <c r="AG72" s="335"/>
      <c r="AH72" s="335"/>
      <c r="AI72" s="335"/>
      <c r="AJ72" s="335"/>
      <c r="AK72" s="335"/>
      <c r="AL72" s="596">
        <v>0</v>
      </c>
      <c r="AM72" s="154">
        <v>0</v>
      </c>
      <c r="AN72" s="4">
        <v>500000</v>
      </c>
      <c r="AO72" s="4">
        <v>0</v>
      </c>
      <c r="AP72" s="335"/>
      <c r="AQ72" s="335"/>
      <c r="AR72" s="335"/>
      <c r="AS72" s="335"/>
      <c r="AT72" s="335"/>
      <c r="AU72" s="4">
        <f t="shared" si="14"/>
        <v>0</v>
      </c>
      <c r="AV72" s="335"/>
      <c r="AW72" s="335"/>
      <c r="AX72" s="335"/>
      <c r="AY72" s="335"/>
      <c r="AZ72" s="335"/>
      <c r="BA72" s="299"/>
      <c r="BB72" s="299"/>
      <c r="BC72" s="299"/>
      <c r="BD72" s="299"/>
      <c r="BE72" s="299"/>
      <c r="BF72" s="299"/>
      <c r="BG72" s="299"/>
    </row>
    <row r="73" spans="1:59" s="5" customFormat="1" ht="31.95" customHeight="1">
      <c r="A73" s="3">
        <f t="shared" si="15"/>
        <v>69</v>
      </c>
      <c r="B73" s="28">
        <v>20006</v>
      </c>
      <c r="C73" s="3" t="s">
        <v>694</v>
      </c>
      <c r="D73" s="4">
        <v>4000000</v>
      </c>
      <c r="E73" s="4"/>
      <c r="F73" s="4">
        <f t="shared" si="8"/>
        <v>4000000</v>
      </c>
      <c r="G73" s="4"/>
      <c r="H73" s="4"/>
      <c r="I73" s="4"/>
      <c r="J73" s="4"/>
      <c r="K73" s="4"/>
      <c r="L73" s="4"/>
      <c r="M73" s="4"/>
      <c r="N73" s="4">
        <f>800000-200000</f>
        <v>600000</v>
      </c>
      <c r="O73" s="4">
        <f t="shared" si="11"/>
        <v>3400000</v>
      </c>
      <c r="P73" s="4"/>
      <c r="Q73" s="4"/>
      <c r="R73" s="4"/>
      <c r="S73" s="4"/>
      <c r="T73" s="4"/>
      <c r="U73" s="4">
        <v>600000</v>
      </c>
      <c r="V73" s="4">
        <v>600000</v>
      </c>
      <c r="W73" s="4"/>
      <c r="X73" s="4"/>
      <c r="Y73" s="4"/>
      <c r="Z73" s="4"/>
      <c r="AA73" s="4"/>
      <c r="AB73" s="3" t="s">
        <v>695</v>
      </c>
      <c r="AC73" s="3">
        <v>746000</v>
      </c>
      <c r="AD73" s="335"/>
      <c r="AE73" s="335"/>
      <c r="AF73" s="335"/>
      <c r="AG73" s="335"/>
      <c r="AH73" s="335"/>
      <c r="AI73" s="335"/>
      <c r="AJ73" s="335"/>
      <c r="AK73" s="335"/>
      <c r="AL73" s="335"/>
      <c r="AM73" s="154">
        <v>0</v>
      </c>
      <c r="AN73" s="4">
        <v>600000</v>
      </c>
      <c r="AO73" s="4">
        <v>0</v>
      </c>
      <c r="AP73" s="335"/>
      <c r="AQ73" s="335"/>
      <c r="AR73" s="335"/>
      <c r="AS73" s="335"/>
      <c r="AT73" s="335"/>
      <c r="AU73" s="4">
        <f t="shared" si="14"/>
        <v>0</v>
      </c>
      <c r="AV73" s="335"/>
      <c r="AW73" s="335"/>
      <c r="AX73" s="335"/>
      <c r="AY73" s="335"/>
      <c r="AZ73" s="335"/>
      <c r="BA73" s="299"/>
      <c r="BB73" s="299"/>
      <c r="BC73" s="299"/>
      <c r="BD73" s="299"/>
      <c r="BE73" s="299"/>
      <c r="BF73" s="299"/>
      <c r="BG73" s="299"/>
    </row>
    <row r="74" spans="1:59" s="5" customFormat="1" ht="31.95" customHeight="1">
      <c r="A74" s="3">
        <f t="shared" si="15"/>
        <v>70</v>
      </c>
      <c r="B74" s="28">
        <v>20007</v>
      </c>
      <c r="C74" s="3" t="s">
        <v>696</v>
      </c>
      <c r="D74" s="4">
        <v>700000</v>
      </c>
      <c r="E74" s="4"/>
      <c r="F74" s="4">
        <f t="shared" si="8"/>
        <v>700000</v>
      </c>
      <c r="G74" s="4">
        <v>0</v>
      </c>
      <c r="H74" s="4">
        <v>0</v>
      </c>
      <c r="I74" s="4">
        <v>0</v>
      </c>
      <c r="J74" s="4">
        <v>0</v>
      </c>
      <c r="K74" s="4">
        <f>SUM(I74:J74)</f>
        <v>0</v>
      </c>
      <c r="L74" s="4">
        <f>H74+K74</f>
        <v>0</v>
      </c>
      <c r="M74" s="4">
        <f>P74+S74</f>
        <v>0</v>
      </c>
      <c r="N74" s="4">
        <v>700000</v>
      </c>
      <c r="O74" s="4">
        <f t="shared" si="11"/>
        <v>0</v>
      </c>
      <c r="P74" s="4">
        <f>G74-L74</f>
        <v>0</v>
      </c>
      <c r="Q74" s="4"/>
      <c r="R74" s="4"/>
      <c r="S74" s="4">
        <f>SUM(Q74:R74)</f>
        <v>0</v>
      </c>
      <c r="T74" s="4">
        <v>0</v>
      </c>
      <c r="U74" s="4">
        <v>700000</v>
      </c>
      <c r="V74" s="4">
        <v>700000</v>
      </c>
      <c r="W74" s="4"/>
      <c r="X74" s="4"/>
      <c r="Y74" s="4"/>
      <c r="Z74" s="4"/>
      <c r="AA74" s="4"/>
      <c r="AB74" s="3" t="s">
        <v>697</v>
      </c>
      <c r="AC74" s="3">
        <v>746000</v>
      </c>
      <c r="AD74" s="335"/>
      <c r="AE74" s="335"/>
      <c r="AF74" s="335"/>
      <c r="AG74" s="335"/>
      <c r="AH74" s="335"/>
      <c r="AI74" s="335"/>
      <c r="AJ74" s="335"/>
      <c r="AK74" s="335"/>
      <c r="AL74" s="335"/>
      <c r="AM74" s="154">
        <v>0</v>
      </c>
      <c r="AN74" s="4">
        <v>700000</v>
      </c>
      <c r="AO74" s="4">
        <v>0</v>
      </c>
      <c r="AP74" s="335"/>
      <c r="AQ74" s="335"/>
      <c r="AR74" s="335"/>
      <c r="AS74" s="335"/>
      <c r="AT74" s="335"/>
      <c r="AU74" s="4">
        <f t="shared" si="14"/>
        <v>0</v>
      </c>
      <c r="AV74" s="335"/>
      <c r="AW74" s="335"/>
      <c r="AX74" s="335"/>
      <c r="AY74" s="335"/>
      <c r="AZ74" s="335"/>
      <c r="BA74" s="299"/>
      <c r="BB74" s="299"/>
      <c r="BC74" s="299"/>
      <c r="BD74" s="299"/>
      <c r="BE74" s="299"/>
      <c r="BF74" s="299"/>
      <c r="BG74" s="299"/>
    </row>
    <row r="75" spans="1:59" s="5" customFormat="1" ht="31.95" customHeight="1">
      <c r="A75" s="3">
        <f t="shared" si="15"/>
        <v>71</v>
      </c>
      <c r="B75" s="28">
        <v>20008</v>
      </c>
      <c r="C75" s="3" t="s">
        <v>698</v>
      </c>
      <c r="D75" s="4">
        <v>1900000</v>
      </c>
      <c r="E75" s="4"/>
      <c r="F75" s="4">
        <f t="shared" si="8"/>
        <v>1900000</v>
      </c>
      <c r="G75" s="4"/>
      <c r="H75" s="4"/>
      <c r="I75" s="4"/>
      <c r="J75" s="4"/>
      <c r="K75" s="4"/>
      <c r="L75" s="4"/>
      <c r="M75" s="4"/>
      <c r="N75" s="4">
        <f>1100000-650000</f>
        <v>450000</v>
      </c>
      <c r="O75" s="4">
        <f t="shared" si="11"/>
        <v>1450000</v>
      </c>
      <c r="P75" s="4"/>
      <c r="Q75" s="4"/>
      <c r="R75" s="4"/>
      <c r="S75" s="4"/>
      <c r="T75" s="4"/>
      <c r="U75" s="4">
        <v>450000</v>
      </c>
      <c r="V75" s="4">
        <v>450000</v>
      </c>
      <c r="W75" s="4"/>
      <c r="X75" s="4"/>
      <c r="Y75" s="4"/>
      <c r="Z75" s="4"/>
      <c r="AA75" s="4"/>
      <c r="AB75" s="3" t="s">
        <v>699</v>
      </c>
      <c r="AC75" s="3">
        <v>732000</v>
      </c>
      <c r="AD75" s="335"/>
      <c r="AE75" s="335"/>
      <c r="AF75" s="335"/>
      <c r="AG75" s="335"/>
      <c r="AH75" s="335"/>
      <c r="AI75" s="335"/>
      <c r="AJ75" s="335"/>
      <c r="AK75" s="335"/>
      <c r="AL75" s="335"/>
      <c r="AM75" s="154">
        <v>0</v>
      </c>
      <c r="AN75" s="4">
        <v>450000</v>
      </c>
      <c r="AO75" s="4">
        <v>0</v>
      </c>
      <c r="AP75" s="335"/>
      <c r="AQ75" s="335"/>
      <c r="AR75" s="335"/>
      <c r="AS75" s="335"/>
      <c r="AT75" s="335"/>
      <c r="AU75" s="4">
        <f t="shared" si="14"/>
        <v>0</v>
      </c>
      <c r="AV75" s="335"/>
      <c r="AW75" s="335"/>
      <c r="AX75" s="335"/>
      <c r="AY75" s="335"/>
      <c r="AZ75" s="335"/>
      <c r="BA75" s="299"/>
      <c r="BB75" s="299"/>
      <c r="BC75" s="299"/>
      <c r="BD75" s="299"/>
      <c r="BE75" s="299"/>
      <c r="BF75" s="299"/>
      <c r="BG75" s="299"/>
    </row>
    <row r="76" spans="1:59" s="5" customFormat="1" ht="31.95" customHeight="1">
      <c r="A76" s="3">
        <f t="shared" si="15"/>
        <v>72</v>
      </c>
      <c r="B76" s="28">
        <v>20009</v>
      </c>
      <c r="C76" s="3" t="s">
        <v>1198</v>
      </c>
      <c r="D76" s="4">
        <v>2150000</v>
      </c>
      <c r="E76" s="4"/>
      <c r="F76" s="4">
        <f t="shared" si="8"/>
        <v>2150000</v>
      </c>
      <c r="G76" s="4"/>
      <c r="H76" s="4"/>
      <c r="I76" s="4"/>
      <c r="J76" s="4"/>
      <c r="K76" s="4"/>
      <c r="L76" s="4"/>
      <c r="M76" s="4"/>
      <c r="N76" s="4">
        <f>1200000-400000-300000</f>
        <v>500000</v>
      </c>
      <c r="O76" s="4">
        <f t="shared" si="11"/>
        <v>1650000</v>
      </c>
      <c r="P76" s="4"/>
      <c r="Q76" s="4"/>
      <c r="R76" s="4"/>
      <c r="S76" s="4"/>
      <c r="T76" s="4"/>
      <c r="U76" s="4">
        <v>500000</v>
      </c>
      <c r="V76" s="4">
        <v>500000</v>
      </c>
      <c r="W76" s="4"/>
      <c r="X76" s="4"/>
      <c r="Y76" s="4"/>
      <c r="Z76" s="4"/>
      <c r="AA76" s="4"/>
      <c r="AB76" s="3" t="s">
        <v>871</v>
      </c>
      <c r="AC76" s="3">
        <v>732000</v>
      </c>
      <c r="AD76" s="335"/>
      <c r="AE76" s="335"/>
      <c r="AF76" s="335"/>
      <c r="AG76" s="335"/>
      <c r="AH76" s="335"/>
      <c r="AI76" s="335"/>
      <c r="AJ76" s="335"/>
      <c r="AK76" s="335"/>
      <c r="AL76" s="438">
        <v>150000</v>
      </c>
      <c r="AM76" s="154">
        <v>150000</v>
      </c>
      <c r="AN76" s="4">
        <v>350000</v>
      </c>
      <c r="AO76" s="4">
        <v>150000</v>
      </c>
      <c r="AP76" s="335"/>
      <c r="AQ76" s="335"/>
      <c r="AR76" s="335"/>
      <c r="AS76" s="335"/>
      <c r="AT76" s="335"/>
      <c r="AU76" s="4">
        <f t="shared" si="14"/>
        <v>150000</v>
      </c>
      <c r="AV76" s="335"/>
      <c r="AW76" s="335"/>
      <c r="AX76" s="335"/>
      <c r="AY76" s="335"/>
      <c r="AZ76" s="335"/>
      <c r="BA76" s="299"/>
      <c r="BB76" s="299"/>
      <c r="BC76" s="299"/>
      <c r="BD76" s="299"/>
      <c r="BE76" s="299"/>
      <c r="BF76" s="299"/>
      <c r="BG76" s="299"/>
    </row>
    <row r="77" spans="1:59" s="331" customFormat="1" ht="31.95" customHeight="1">
      <c r="A77" s="270">
        <f>A76</f>
        <v>72</v>
      </c>
      <c r="B77" s="270"/>
      <c r="C77" s="29" t="s">
        <v>337</v>
      </c>
      <c r="D77" s="330">
        <f>SUM(D5:D76)</f>
        <v>527779791</v>
      </c>
      <c r="E77" s="330">
        <f t="shared" ref="E77:S77" si="16">SUM(E5:E76)</f>
        <v>483168791</v>
      </c>
      <c r="F77" s="330">
        <f t="shared" si="16"/>
        <v>44611000</v>
      </c>
      <c r="G77" s="330">
        <f t="shared" si="16"/>
        <v>205226071</v>
      </c>
      <c r="H77" s="330">
        <f t="shared" si="16"/>
        <v>168574056</v>
      </c>
      <c r="I77" s="330">
        <f t="shared" si="16"/>
        <v>6019848</v>
      </c>
      <c r="J77" s="330">
        <f t="shared" si="16"/>
        <v>5752801</v>
      </c>
      <c r="K77" s="330">
        <f t="shared" si="16"/>
        <v>11772649</v>
      </c>
      <c r="L77" s="330">
        <f>SUM(L5:L76)</f>
        <v>180346705</v>
      </c>
      <c r="M77" s="330">
        <f>SUM(M5:M76)</f>
        <v>6759366</v>
      </c>
      <c r="N77" s="330">
        <f>SUM(N5:N76)</f>
        <v>29150000</v>
      </c>
      <c r="O77" s="330">
        <f>SUM(O5:O76)</f>
        <v>311523720</v>
      </c>
      <c r="P77" s="330">
        <f>SUM(P5:P76)</f>
        <v>24879366</v>
      </c>
      <c r="Q77" s="330">
        <f t="shared" si="16"/>
        <v>1450000</v>
      </c>
      <c r="R77" s="330">
        <f t="shared" si="16"/>
        <v>0</v>
      </c>
      <c r="S77" s="330">
        <f t="shared" si="16"/>
        <v>1450000</v>
      </c>
      <c r="T77" s="330">
        <v>19570000</v>
      </c>
      <c r="U77" s="330">
        <v>9580000</v>
      </c>
      <c r="V77" s="330">
        <v>8005774</v>
      </c>
      <c r="W77" s="330">
        <v>0</v>
      </c>
      <c r="X77" s="330">
        <v>0</v>
      </c>
      <c r="Y77" s="330">
        <v>0</v>
      </c>
      <c r="Z77" s="330">
        <v>0</v>
      </c>
      <c r="AA77" s="330">
        <v>1574226</v>
      </c>
      <c r="AB77" s="330">
        <v>0</v>
      </c>
      <c r="AC77" s="330"/>
      <c r="AD77" s="330">
        <v>500000</v>
      </c>
      <c r="AE77" s="330">
        <v>0</v>
      </c>
      <c r="AF77" s="330">
        <v>0</v>
      </c>
      <c r="AG77" s="330">
        <v>-3500000</v>
      </c>
      <c r="AH77" s="330">
        <v>1250000</v>
      </c>
      <c r="AI77" s="330">
        <v>300000</v>
      </c>
      <c r="AJ77" s="330">
        <v>630502</v>
      </c>
      <c r="AK77" s="330">
        <v>-1440000</v>
      </c>
      <c r="AL77" s="330">
        <v>810000</v>
      </c>
      <c r="AM77" s="330">
        <v>-1449498</v>
      </c>
      <c r="AN77" s="330">
        <v>11029498</v>
      </c>
      <c r="AO77" s="330">
        <v>-1023724</v>
      </c>
      <c r="AP77" s="330">
        <v>0</v>
      </c>
      <c r="AQ77" s="330">
        <v>0</v>
      </c>
      <c r="AR77" s="330">
        <v>0</v>
      </c>
      <c r="AS77" s="330">
        <v>0</v>
      </c>
      <c r="AT77" s="330">
        <v>-425774</v>
      </c>
      <c r="AU77" s="330">
        <f t="shared" ref="AU77:AZ77" si="17">SUM(AU5:AU76)</f>
        <v>810000</v>
      </c>
      <c r="AV77" s="330">
        <f t="shared" si="17"/>
        <v>0</v>
      </c>
      <c r="AW77" s="330">
        <f t="shared" si="17"/>
        <v>0</v>
      </c>
      <c r="AX77" s="330">
        <f t="shared" si="17"/>
        <v>0</v>
      </c>
      <c r="AY77" s="330">
        <f t="shared" si="17"/>
        <v>0</v>
      </c>
      <c r="AZ77" s="330">
        <f t="shared" si="17"/>
        <v>0</v>
      </c>
      <c r="BA77" s="299"/>
      <c r="BB77" s="299"/>
      <c r="BC77" s="299"/>
      <c r="BD77" s="299"/>
      <c r="BE77" s="299"/>
      <c r="BF77" s="299"/>
      <c r="BG77" s="299"/>
    </row>
    <row r="78" spans="1:59">
      <c r="L78" s="13">
        <f>K77+H77</f>
        <v>180346705</v>
      </c>
      <c r="M78" s="13">
        <f>P77+S77-T77</f>
        <v>6759366</v>
      </c>
      <c r="P78" s="13">
        <f>G77-L77</f>
        <v>24879366</v>
      </c>
    </row>
    <row r="80" spans="1:59" hidden="1">
      <c r="T80" s="13" t="s">
        <v>974</v>
      </c>
      <c r="U80" s="13">
        <f>U5+U6+U8+U9+U10+U13+U14+U15+U17+U18+U22+U25+U29+U33+U41+U42+U43+U53+U61+U62+U63+U64+U67+U68+U69+U70++U71+U72+U73+U74+U75+U76</f>
        <v>14670000</v>
      </c>
      <c r="AJ80" s="483" t="s">
        <v>975</v>
      </c>
      <c r="AL80" s="299">
        <f>AL29+AL68</f>
        <v>210000</v>
      </c>
      <c r="AM80" s="13">
        <f>AM5+AM6+AM8+AM9+AM10+AM13+AM14+AM15+AM17+AM18+AM22+AM25+AM29+AM33+AM41+AM42+AM43+AM53+AM61+AM62+AM63+AM64+AM67+AM68+AM69+AM70++AM71+AM72+AM73+AM74+AM75+AM76</f>
        <v>3010000</v>
      </c>
    </row>
    <row r="81" spans="3:39" hidden="1">
      <c r="T81" s="13" t="s">
        <v>976</v>
      </c>
      <c r="U81" s="13">
        <f>U16+U20+U24+U31+U32+U38+U39+U44+U45+U46+U48+U49+U51+U52+U55+U56</f>
        <v>-5090000</v>
      </c>
      <c r="AJ81" s="299" t="s">
        <v>977</v>
      </c>
      <c r="AL81" s="299">
        <f>AL72+AL69+AL5+AL18+AL71+AL76</f>
        <v>600000</v>
      </c>
      <c r="AM81" s="13">
        <f>AM16+AM20+AM24+AM31+AM32+AM38+AM39+AM44+AM45+AM46+AM48+AM49+AM51+AM52+AM55+AM56</f>
        <v>-4459498</v>
      </c>
    </row>
    <row r="82" spans="3:39" hidden="1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3">
        <f>SUM(U80:U81)</f>
        <v>9580000</v>
      </c>
      <c r="AL82" s="299">
        <f>SUM(AL80:AL81)</f>
        <v>810000</v>
      </c>
      <c r="AM82" s="13">
        <f>SUM(AM80:AM81)</f>
        <v>-1449498</v>
      </c>
    </row>
    <row r="83" spans="3:39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3:39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3:39" ht="27.6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AJ85" s="299" t="s">
        <v>1201</v>
      </c>
      <c r="AL85" s="299">
        <v>500000</v>
      </c>
    </row>
    <row r="86" spans="3:39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AJ86" s="483" t="s">
        <v>1202</v>
      </c>
      <c r="AL86" s="299">
        <f>AL81-AL85</f>
        <v>100000</v>
      </c>
    </row>
    <row r="87" spans="3:39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3:39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3:39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3:39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3:39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3:39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3:39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</sheetData>
  <mergeCells count="5">
    <mergeCell ref="T3:U3"/>
    <mergeCell ref="V3:AA3"/>
    <mergeCell ref="AD3:AN3"/>
    <mergeCell ref="AO3:AT3"/>
    <mergeCell ref="AU3:AZ3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59"/>
  <sheetViews>
    <sheetView showZeros="0" rightToLeft="1" tabSelected="1" zoomScaleNormal="100" workbookViewId="0">
      <pane xSplit="3" ySplit="4" topLeftCell="D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3.8"/>
  <cols>
    <col min="1" max="1" width="5.77734375" style="237" customWidth="1"/>
    <col min="2" max="2" width="5.77734375" style="238" customWidth="1"/>
    <col min="3" max="3" width="23.33203125" style="162" customWidth="1"/>
    <col min="4" max="5" width="12.6640625" style="148" hidden="1" customWidth="1"/>
    <col min="6" max="6" width="11.109375" style="148" hidden="1" customWidth="1"/>
    <col min="7" max="7" width="12.6640625" style="148" hidden="1" customWidth="1"/>
    <col min="8" max="8" width="14.33203125" style="148" hidden="1" customWidth="1"/>
    <col min="9" max="9" width="9.109375" style="148" hidden="1" customWidth="1"/>
    <col min="10" max="10" width="10.109375" style="148" hidden="1" customWidth="1"/>
    <col min="11" max="11" width="10.44140625" style="148" hidden="1" customWidth="1"/>
    <col min="12" max="12" width="12.6640625" style="148" hidden="1" customWidth="1"/>
    <col min="13" max="14" width="11.109375" style="148" hidden="1" customWidth="1"/>
    <col min="15" max="15" width="12.6640625" style="148" hidden="1" customWidth="1"/>
    <col min="16" max="16" width="11.109375" style="148" hidden="1" customWidth="1"/>
    <col min="17" max="18" width="13.5546875" style="148" hidden="1" customWidth="1"/>
    <col min="19" max="19" width="12.5546875" style="148" hidden="1" customWidth="1"/>
    <col min="20" max="20" width="10.109375" style="148" customWidth="1"/>
    <col min="21" max="23" width="10.109375" style="147" customWidth="1"/>
    <col min="24" max="24" width="10.6640625" style="147" hidden="1" customWidth="1"/>
    <col min="25" max="27" width="10.109375" style="147" customWidth="1"/>
    <col min="28" max="28" width="84.5546875" style="258" hidden="1" customWidth="1"/>
    <col min="29" max="29" width="7" style="147" hidden="1" customWidth="1"/>
    <col min="30" max="30" width="12.33203125" style="147" hidden="1" customWidth="1"/>
    <col min="31" max="31" width="10.109375" style="147" hidden="1" customWidth="1"/>
    <col min="32" max="32" width="11" style="147" hidden="1" customWidth="1"/>
    <col min="33" max="33" width="13.44140625" style="147" hidden="1" customWidth="1"/>
    <col min="34" max="34" width="10.44140625" style="147" hidden="1" customWidth="1"/>
    <col min="35" max="35" width="10.33203125" style="147" hidden="1" customWidth="1"/>
    <col min="36" max="36" width="10.6640625" style="147" hidden="1" customWidth="1"/>
    <col min="37" max="38" width="13.6640625" style="147" hidden="1" customWidth="1"/>
    <col min="39" max="41" width="10.109375" style="147" customWidth="1"/>
    <col min="42" max="42" width="11.33203125" style="147" hidden="1" customWidth="1"/>
    <col min="43" max="43" width="13.6640625" style="147" hidden="1" customWidth="1"/>
    <col min="44" max="46" width="10.109375" style="147" customWidth="1"/>
    <col min="47" max="52" width="13.6640625" style="147" hidden="1" customWidth="1"/>
    <col min="53" max="53" width="21.44140625" style="147" customWidth="1"/>
    <col min="54" max="54" width="20" style="147" customWidth="1"/>
    <col min="55" max="55" width="19.33203125" style="147" customWidth="1"/>
    <col min="56" max="56" width="20.33203125" style="147" customWidth="1"/>
    <col min="57" max="57" width="16.109375" style="147" customWidth="1"/>
    <col min="58" max="58" width="25.5546875" style="147" customWidth="1"/>
    <col min="59" max="59" width="25.33203125" style="147" customWidth="1"/>
    <col min="60" max="60" width="22.33203125" style="147" customWidth="1"/>
    <col min="61" max="61" width="23" style="147" customWidth="1"/>
    <col min="62" max="62" width="12.33203125" style="147" customWidth="1"/>
    <col min="63" max="63" width="11.33203125" style="147" customWidth="1"/>
    <col min="64" max="65" width="10.6640625" style="147" customWidth="1"/>
    <col min="66" max="66" width="23" style="147" customWidth="1"/>
    <col min="67" max="67" width="13.109375" style="147" customWidth="1"/>
    <col min="68" max="68" width="17.6640625" style="147" customWidth="1"/>
    <col min="69" max="16384" width="9.109375" style="147"/>
  </cols>
  <sheetData>
    <row r="1" spans="1:68" s="235" customFormat="1" ht="18">
      <c r="A1" s="234"/>
      <c r="B1" s="234"/>
      <c r="C1" s="260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6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</row>
    <row r="2" spans="1:68" ht="18">
      <c r="A2" s="234" t="s">
        <v>1448</v>
      </c>
      <c r="B2" s="234"/>
      <c r="C2" s="260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162"/>
    </row>
    <row r="3" spans="1:68" ht="35.25" customHeight="1">
      <c r="T3" s="622" t="s">
        <v>1426</v>
      </c>
      <c r="U3" s="622"/>
      <c r="V3" s="622" t="s">
        <v>83</v>
      </c>
      <c r="W3" s="622"/>
      <c r="X3" s="622"/>
      <c r="Y3" s="622"/>
      <c r="Z3" s="622"/>
      <c r="AA3" s="622"/>
      <c r="AD3" s="644" t="s">
        <v>207</v>
      </c>
      <c r="AE3" s="645"/>
      <c r="AF3" s="645"/>
      <c r="AG3" s="645"/>
      <c r="AH3" s="645"/>
      <c r="AI3" s="645"/>
      <c r="AJ3" s="645"/>
      <c r="AK3" s="645"/>
      <c r="AL3" s="645"/>
      <c r="AM3" s="645"/>
      <c r="AN3" s="646"/>
      <c r="AO3" s="647" t="s">
        <v>1174</v>
      </c>
      <c r="AP3" s="648"/>
      <c r="AQ3" s="648"/>
      <c r="AR3" s="648"/>
      <c r="AS3" s="648"/>
      <c r="AT3" s="649"/>
      <c r="AU3" s="622" t="s">
        <v>953</v>
      </c>
      <c r="AV3" s="622"/>
      <c r="AW3" s="622"/>
      <c r="AX3" s="622"/>
      <c r="AY3" s="622"/>
      <c r="AZ3" s="622"/>
    </row>
    <row r="4" spans="1:68" s="239" customFormat="1" ht="69">
      <c r="A4" s="387" t="s">
        <v>736</v>
      </c>
      <c r="B4" s="150" t="s">
        <v>1</v>
      </c>
      <c r="C4" s="150" t="s">
        <v>2</v>
      </c>
      <c r="D4" s="150" t="s">
        <v>3</v>
      </c>
      <c r="E4" s="150" t="s">
        <v>4</v>
      </c>
      <c r="F4" s="150" t="s">
        <v>5</v>
      </c>
      <c r="G4" s="150" t="s">
        <v>6</v>
      </c>
      <c r="H4" s="150" t="s">
        <v>7</v>
      </c>
      <c r="I4" s="150" t="s">
        <v>9</v>
      </c>
      <c r="J4" s="150" t="s">
        <v>132</v>
      </c>
      <c r="K4" s="150" t="s">
        <v>10</v>
      </c>
      <c r="L4" s="347" t="s">
        <v>11</v>
      </c>
      <c r="M4" s="9" t="s">
        <v>658</v>
      </c>
      <c r="N4" s="9" t="s">
        <v>659</v>
      </c>
      <c r="O4" s="9" t="s">
        <v>660</v>
      </c>
      <c r="P4" s="9" t="s">
        <v>12</v>
      </c>
      <c r="Q4" s="9" t="s">
        <v>661</v>
      </c>
      <c r="R4" s="9" t="s">
        <v>662</v>
      </c>
      <c r="S4" s="9" t="s">
        <v>663</v>
      </c>
      <c r="T4" s="9" t="s">
        <v>664</v>
      </c>
      <c r="U4" s="9" t="s">
        <v>665</v>
      </c>
      <c r="V4" s="15" t="s">
        <v>13</v>
      </c>
      <c r="W4" s="15" t="s">
        <v>14</v>
      </c>
      <c r="X4" s="150" t="s">
        <v>15</v>
      </c>
      <c r="Y4" s="150" t="s">
        <v>225</v>
      </c>
      <c r="Z4" s="150" t="s">
        <v>575</v>
      </c>
      <c r="AA4" s="150" t="s">
        <v>79</v>
      </c>
      <c r="AB4" s="484" t="s">
        <v>257</v>
      </c>
      <c r="AC4" s="150" t="s">
        <v>16</v>
      </c>
      <c r="AD4" s="481" t="s">
        <v>954</v>
      </c>
      <c r="AE4" s="481" t="s">
        <v>955</v>
      </c>
      <c r="AF4" s="481" t="s">
        <v>956</v>
      </c>
      <c r="AG4" s="481" t="s">
        <v>957</v>
      </c>
      <c r="AH4" s="481" t="s">
        <v>958</v>
      </c>
      <c r="AI4" s="481" t="s">
        <v>959</v>
      </c>
      <c r="AJ4" s="481" t="s">
        <v>960</v>
      </c>
      <c r="AK4" s="481" t="s">
        <v>961</v>
      </c>
      <c r="AL4" s="481" t="s">
        <v>962</v>
      </c>
      <c r="AM4" s="19" t="s">
        <v>1173</v>
      </c>
      <c r="AN4" s="19" t="s">
        <v>635</v>
      </c>
      <c r="AO4" s="167" t="s">
        <v>13</v>
      </c>
      <c r="AP4" s="167" t="s">
        <v>14</v>
      </c>
      <c r="AQ4" s="167" t="s">
        <v>15</v>
      </c>
      <c r="AR4" s="167" t="s">
        <v>225</v>
      </c>
      <c r="AS4" s="167" t="s">
        <v>575</v>
      </c>
      <c r="AT4" s="15" t="s">
        <v>79</v>
      </c>
      <c r="AU4" s="167" t="s">
        <v>13</v>
      </c>
      <c r="AV4" s="167" t="s">
        <v>14</v>
      </c>
      <c r="AW4" s="167" t="s">
        <v>15</v>
      </c>
      <c r="AX4" s="167" t="s">
        <v>225</v>
      </c>
      <c r="AY4" s="167" t="s">
        <v>575</v>
      </c>
      <c r="AZ4" s="15" t="s">
        <v>79</v>
      </c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</row>
    <row r="5" spans="1:68" s="157" customFormat="1" ht="31.95" customHeight="1">
      <c r="A5" s="153">
        <v>1</v>
      </c>
      <c r="B5" s="153">
        <v>382</v>
      </c>
      <c r="C5" s="153" t="s">
        <v>396</v>
      </c>
      <c r="D5" s="154">
        <f>72881330+6500000+7000000+25000000</f>
        <v>111381330</v>
      </c>
      <c r="E5" s="154">
        <v>72881330</v>
      </c>
      <c r="F5" s="154">
        <f t="shared" ref="F5:F68" si="0">D5-E5</f>
        <v>38500000</v>
      </c>
      <c r="G5" s="154">
        <v>61381330</v>
      </c>
      <c r="H5" s="154">
        <v>56841407</v>
      </c>
      <c r="I5" s="154">
        <v>0</v>
      </c>
      <c r="J5" s="154">
        <v>1767404</v>
      </c>
      <c r="K5" s="154">
        <f>SUM(I5:J5)</f>
        <v>1767404</v>
      </c>
      <c r="L5" s="154">
        <f t="shared" ref="L5:L68" si="1">K5+H5</f>
        <v>58608811</v>
      </c>
      <c r="M5" s="154">
        <f>P5+S5</f>
        <v>2772519</v>
      </c>
      <c r="N5" s="154">
        <f>15500000-6500000+16000000-10000000-1000000-1000000-3000000</f>
        <v>10000000</v>
      </c>
      <c r="O5" s="154">
        <f>D5-L5-M5-N5</f>
        <v>40000000</v>
      </c>
      <c r="P5" s="154">
        <f t="shared" ref="P5:P68" si="2">G5-L5</f>
        <v>2772519</v>
      </c>
      <c r="Q5" s="154"/>
      <c r="R5" s="154"/>
      <c r="S5" s="154">
        <f>SUM(Q5:R5)</f>
        <v>0</v>
      </c>
      <c r="T5" s="154">
        <v>0</v>
      </c>
      <c r="U5" s="154">
        <v>10000000</v>
      </c>
      <c r="V5" s="154">
        <v>10000000</v>
      </c>
      <c r="W5" s="154"/>
      <c r="X5" s="154"/>
      <c r="Y5" s="154"/>
      <c r="Z5" s="154"/>
      <c r="AA5" s="153"/>
      <c r="AB5" s="240" t="s">
        <v>737</v>
      </c>
      <c r="AC5" s="153">
        <v>742000</v>
      </c>
      <c r="AD5" s="154"/>
      <c r="AE5" s="154"/>
      <c r="AF5" s="154"/>
      <c r="AG5" s="154"/>
      <c r="AH5" s="154"/>
      <c r="AI5" s="154"/>
      <c r="AJ5" s="154"/>
      <c r="AK5" s="154"/>
      <c r="AL5" s="438">
        <v>10000000</v>
      </c>
      <c r="AM5" s="154">
        <v>10000000</v>
      </c>
      <c r="AN5" s="438">
        <v>0</v>
      </c>
      <c r="AO5" s="154">
        <v>10000000</v>
      </c>
      <c r="AP5" s="154"/>
      <c r="AQ5" s="154"/>
      <c r="AR5" s="154"/>
      <c r="AS5" s="154"/>
      <c r="AT5" s="154"/>
      <c r="AU5" s="154">
        <f>AL5-AV5-AX5-AY5-AZ5</f>
        <v>10000000</v>
      </c>
      <c r="AV5" s="154"/>
      <c r="AW5" s="154"/>
      <c r="AX5" s="154"/>
      <c r="AY5" s="154"/>
      <c r="AZ5" s="154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</row>
    <row r="6" spans="1:68" s="158" customFormat="1" ht="31.95" customHeight="1">
      <c r="A6" s="153">
        <f>A5+1</f>
        <v>2</v>
      </c>
      <c r="B6" s="153">
        <v>532</v>
      </c>
      <c r="C6" s="153" t="s">
        <v>72</v>
      </c>
      <c r="D6" s="154">
        <v>80090000</v>
      </c>
      <c r="E6" s="154">
        <v>80090000</v>
      </c>
      <c r="F6" s="154">
        <f t="shared" si="0"/>
        <v>0</v>
      </c>
      <c r="G6" s="154">
        <v>77090000</v>
      </c>
      <c r="H6" s="154">
        <v>75158968</v>
      </c>
      <c r="I6" s="154">
        <v>0</v>
      </c>
      <c r="J6" s="154">
        <v>93388</v>
      </c>
      <c r="K6" s="154">
        <f t="shared" ref="K6:K64" si="3">SUM(I6:J6)</f>
        <v>93388</v>
      </c>
      <c r="L6" s="154">
        <f t="shared" si="1"/>
        <v>75252356</v>
      </c>
      <c r="M6" s="154">
        <f t="shared" ref="M6:M69" si="4">P6+S6</f>
        <v>4837644</v>
      </c>
      <c r="N6" s="154"/>
      <c r="O6" s="154">
        <f t="shared" ref="O6:O69" si="5">D6-L6-M6-N6</f>
        <v>0</v>
      </c>
      <c r="P6" s="154">
        <f t="shared" si="2"/>
        <v>1837644</v>
      </c>
      <c r="Q6" s="154">
        <v>3000000</v>
      </c>
      <c r="R6" s="154"/>
      <c r="S6" s="154">
        <f t="shared" ref="S6:S11" si="6">SUM(Q6:R6)</f>
        <v>3000000</v>
      </c>
      <c r="T6" s="154">
        <v>0</v>
      </c>
      <c r="U6" s="154">
        <v>0</v>
      </c>
      <c r="V6" s="154">
        <v>0</v>
      </c>
      <c r="W6" s="154"/>
      <c r="X6" s="154"/>
      <c r="Y6" s="154"/>
      <c r="Z6" s="154"/>
      <c r="AA6" s="153"/>
      <c r="AB6" s="242" t="s">
        <v>531</v>
      </c>
      <c r="AC6" s="153">
        <v>742000</v>
      </c>
      <c r="AD6" s="154"/>
      <c r="AE6" s="154"/>
      <c r="AF6" s="154"/>
      <c r="AG6" s="154"/>
      <c r="AH6" s="154"/>
      <c r="AI6" s="154"/>
      <c r="AJ6" s="154"/>
      <c r="AK6" s="154"/>
      <c r="AL6" s="438"/>
      <c r="AM6" s="154">
        <v>0</v>
      </c>
      <c r="AN6" s="154">
        <v>0</v>
      </c>
      <c r="AO6" s="154">
        <v>0</v>
      </c>
      <c r="AP6" s="154"/>
      <c r="AQ6" s="154"/>
      <c r="AR6" s="154"/>
      <c r="AS6" s="154"/>
      <c r="AT6" s="154"/>
      <c r="AU6" s="154">
        <f t="shared" ref="AU6:AU69" si="7">AL6-AV6-AX6-AY6-AZ6</f>
        <v>0</v>
      </c>
      <c r="AV6" s="154"/>
      <c r="AW6" s="154"/>
      <c r="AX6" s="154"/>
      <c r="AY6" s="154"/>
      <c r="AZ6" s="154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</row>
    <row r="7" spans="1:68" s="158" customFormat="1" ht="31.95" customHeight="1">
      <c r="A7" s="153">
        <f t="shared" ref="A7:A70" si="8">A6+1</f>
        <v>3</v>
      </c>
      <c r="B7" s="153">
        <v>576</v>
      </c>
      <c r="C7" s="153" t="s">
        <v>73</v>
      </c>
      <c r="D7" s="154">
        <v>76913000</v>
      </c>
      <c r="E7" s="154">
        <v>76913000</v>
      </c>
      <c r="F7" s="154">
        <f t="shared" si="0"/>
        <v>0</v>
      </c>
      <c r="G7" s="154">
        <v>58113000</v>
      </c>
      <c r="H7" s="154">
        <v>54700908</v>
      </c>
      <c r="I7" s="154">
        <v>0</v>
      </c>
      <c r="J7" s="154">
        <v>3004295</v>
      </c>
      <c r="K7" s="154">
        <f t="shared" si="3"/>
        <v>3004295</v>
      </c>
      <c r="L7" s="154">
        <f t="shared" si="1"/>
        <v>57705203</v>
      </c>
      <c r="M7" s="154">
        <f t="shared" si="4"/>
        <v>407797</v>
      </c>
      <c r="N7" s="154"/>
      <c r="O7" s="154">
        <f t="shared" si="5"/>
        <v>18800000</v>
      </c>
      <c r="P7" s="154">
        <f t="shared" si="2"/>
        <v>407797</v>
      </c>
      <c r="Q7" s="154"/>
      <c r="R7" s="154"/>
      <c r="S7" s="154">
        <f t="shared" si="6"/>
        <v>0</v>
      </c>
      <c r="T7" s="154">
        <v>0</v>
      </c>
      <c r="U7" s="154">
        <v>0</v>
      </c>
      <c r="V7" s="154">
        <v>0</v>
      </c>
      <c r="W7" s="154"/>
      <c r="X7" s="154"/>
      <c r="Y7" s="154"/>
      <c r="Z7" s="154"/>
      <c r="AA7" s="154"/>
      <c r="AB7" s="153" t="s">
        <v>814</v>
      </c>
      <c r="AC7" s="153">
        <v>760000</v>
      </c>
      <c r="AD7" s="154"/>
      <c r="AE7" s="154"/>
      <c r="AF7" s="154"/>
      <c r="AG7" s="154"/>
      <c r="AH7" s="154"/>
      <c r="AI7" s="154"/>
      <c r="AJ7" s="154"/>
      <c r="AK7" s="154"/>
      <c r="AL7" s="438"/>
      <c r="AM7" s="154">
        <v>0</v>
      </c>
      <c r="AN7" s="154">
        <v>0</v>
      </c>
      <c r="AO7" s="154">
        <v>0</v>
      </c>
      <c r="AP7" s="154"/>
      <c r="AQ7" s="154"/>
      <c r="AR7" s="154"/>
      <c r="AS7" s="154"/>
      <c r="AT7" s="154"/>
      <c r="AU7" s="154">
        <f t="shared" si="7"/>
        <v>0</v>
      </c>
      <c r="AV7" s="154"/>
      <c r="AW7" s="154"/>
      <c r="AX7" s="154"/>
      <c r="AY7" s="154"/>
      <c r="AZ7" s="154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</row>
    <row r="8" spans="1:68" s="158" customFormat="1" ht="31.95" customHeight="1">
      <c r="A8" s="153">
        <f t="shared" si="8"/>
        <v>4</v>
      </c>
      <c r="B8" s="153">
        <v>634</v>
      </c>
      <c r="C8" s="153" t="s">
        <v>978</v>
      </c>
      <c r="D8" s="154">
        <f>56350000-700000</f>
        <v>55650000</v>
      </c>
      <c r="E8" s="154">
        <v>56350000</v>
      </c>
      <c r="F8" s="154">
        <f t="shared" si="0"/>
        <v>-700000</v>
      </c>
      <c r="G8" s="154">
        <v>55950000</v>
      </c>
      <c r="H8" s="154">
        <v>55561475</v>
      </c>
      <c r="I8" s="154">
        <v>0</v>
      </c>
      <c r="J8" s="154">
        <v>0</v>
      </c>
      <c r="K8" s="154">
        <f t="shared" si="3"/>
        <v>0</v>
      </c>
      <c r="L8" s="154">
        <f t="shared" si="1"/>
        <v>55561475</v>
      </c>
      <c r="M8" s="154">
        <f>P8+S8-300000</f>
        <v>88525</v>
      </c>
      <c r="N8" s="154"/>
      <c r="O8" s="154">
        <f t="shared" si="5"/>
        <v>0</v>
      </c>
      <c r="P8" s="154">
        <f t="shared" si="2"/>
        <v>388525</v>
      </c>
      <c r="Q8" s="154"/>
      <c r="R8" s="154"/>
      <c r="S8" s="154">
        <f t="shared" si="6"/>
        <v>0</v>
      </c>
      <c r="T8" s="154">
        <v>300000</v>
      </c>
      <c r="U8" s="154">
        <v>-300000</v>
      </c>
      <c r="V8" s="154">
        <v>-300000</v>
      </c>
      <c r="W8" s="154"/>
      <c r="X8" s="154"/>
      <c r="Y8" s="154"/>
      <c r="Z8" s="154"/>
      <c r="AA8" s="153"/>
      <c r="AB8" s="153" t="s">
        <v>979</v>
      </c>
      <c r="AC8" s="153">
        <v>732000</v>
      </c>
      <c r="AD8" s="154"/>
      <c r="AE8" s="154"/>
      <c r="AF8" s="154">
        <v>-300000</v>
      </c>
      <c r="AG8" s="154"/>
      <c r="AH8" s="154"/>
      <c r="AI8" s="154"/>
      <c r="AJ8" s="154"/>
      <c r="AK8" s="154"/>
      <c r="AL8" s="438"/>
      <c r="AM8" s="154">
        <v>-300000</v>
      </c>
      <c r="AN8" s="154">
        <v>0</v>
      </c>
      <c r="AO8" s="154">
        <v>-300000</v>
      </c>
      <c r="AP8" s="154"/>
      <c r="AQ8" s="154"/>
      <c r="AR8" s="154"/>
      <c r="AS8" s="154"/>
      <c r="AT8" s="154"/>
      <c r="AU8" s="154">
        <f t="shared" si="7"/>
        <v>0</v>
      </c>
      <c r="AV8" s="154"/>
      <c r="AW8" s="154"/>
      <c r="AX8" s="154"/>
      <c r="AY8" s="154"/>
      <c r="AZ8" s="154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</row>
    <row r="9" spans="1:68" s="157" customFormat="1" ht="31.95" customHeight="1">
      <c r="A9" s="153">
        <f t="shared" si="8"/>
        <v>5</v>
      </c>
      <c r="B9" s="153">
        <v>1067</v>
      </c>
      <c r="C9" s="153" t="s">
        <v>74</v>
      </c>
      <c r="D9" s="154">
        <f>4475000+500000-250000</f>
        <v>4725000</v>
      </c>
      <c r="E9" s="154">
        <v>4475000</v>
      </c>
      <c r="F9" s="154">
        <f t="shared" si="0"/>
        <v>250000</v>
      </c>
      <c r="G9" s="154">
        <v>3975000</v>
      </c>
      <c r="H9" s="154">
        <v>3381161</v>
      </c>
      <c r="I9" s="154">
        <v>0</v>
      </c>
      <c r="J9" s="154">
        <v>318521</v>
      </c>
      <c r="K9" s="154">
        <f t="shared" si="3"/>
        <v>318521</v>
      </c>
      <c r="L9" s="154">
        <f t="shared" si="1"/>
        <v>3699682</v>
      </c>
      <c r="M9" s="154">
        <f t="shared" si="4"/>
        <v>775318</v>
      </c>
      <c r="N9" s="154">
        <f>500000-250000</f>
        <v>250000</v>
      </c>
      <c r="O9" s="154">
        <f t="shared" si="5"/>
        <v>0</v>
      </c>
      <c r="P9" s="154">
        <f t="shared" si="2"/>
        <v>275318</v>
      </c>
      <c r="Q9" s="154">
        <v>500000</v>
      </c>
      <c r="R9" s="154"/>
      <c r="S9" s="154">
        <f t="shared" si="6"/>
        <v>500000</v>
      </c>
      <c r="T9" s="154">
        <v>0</v>
      </c>
      <c r="U9" s="154">
        <v>250000</v>
      </c>
      <c r="V9" s="154">
        <v>250000</v>
      </c>
      <c r="W9" s="154"/>
      <c r="X9" s="154"/>
      <c r="Y9" s="154"/>
      <c r="Z9" s="154"/>
      <c r="AA9" s="153"/>
      <c r="AB9" s="242" t="s">
        <v>271</v>
      </c>
      <c r="AC9" s="153">
        <v>742000</v>
      </c>
      <c r="AD9" s="154"/>
      <c r="AE9" s="154"/>
      <c r="AF9" s="154"/>
      <c r="AG9" s="154"/>
      <c r="AH9" s="154"/>
      <c r="AI9" s="154"/>
      <c r="AJ9" s="154"/>
      <c r="AK9" s="154"/>
      <c r="AL9" s="438"/>
      <c r="AM9" s="154">
        <v>0</v>
      </c>
      <c r="AN9" s="154">
        <v>250000</v>
      </c>
      <c r="AO9" s="154">
        <v>0</v>
      </c>
      <c r="AP9" s="154"/>
      <c r="AQ9" s="154"/>
      <c r="AR9" s="154"/>
      <c r="AS9" s="154"/>
      <c r="AT9" s="154"/>
      <c r="AU9" s="154">
        <f t="shared" si="7"/>
        <v>0</v>
      </c>
      <c r="AV9" s="154"/>
      <c r="AW9" s="154"/>
      <c r="AX9" s="154"/>
      <c r="AY9" s="154"/>
      <c r="AZ9" s="154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</row>
    <row r="10" spans="1:68" s="158" customFormat="1" ht="31.95" customHeight="1">
      <c r="A10" s="153">
        <f t="shared" si="8"/>
        <v>6</v>
      </c>
      <c r="B10" s="153">
        <v>1207</v>
      </c>
      <c r="C10" s="153" t="s">
        <v>75</v>
      </c>
      <c r="D10" s="154">
        <v>50650000</v>
      </c>
      <c r="E10" s="154">
        <v>50650000</v>
      </c>
      <c r="F10" s="154">
        <f t="shared" si="0"/>
        <v>0</v>
      </c>
      <c r="G10" s="154">
        <v>45650000</v>
      </c>
      <c r="H10" s="154">
        <v>39408214</v>
      </c>
      <c r="I10" s="154">
        <v>0</v>
      </c>
      <c r="J10" s="154">
        <v>3859618</v>
      </c>
      <c r="K10" s="154">
        <f t="shared" si="3"/>
        <v>3859618</v>
      </c>
      <c r="L10" s="154">
        <f t="shared" si="1"/>
        <v>43267832</v>
      </c>
      <c r="M10" s="154">
        <f t="shared" si="4"/>
        <v>2382168</v>
      </c>
      <c r="N10" s="154"/>
      <c r="O10" s="154">
        <f t="shared" si="5"/>
        <v>5000000</v>
      </c>
      <c r="P10" s="154">
        <f t="shared" si="2"/>
        <v>2382168</v>
      </c>
      <c r="Q10" s="154"/>
      <c r="R10" s="154"/>
      <c r="S10" s="154">
        <f t="shared" si="6"/>
        <v>0</v>
      </c>
      <c r="T10" s="154">
        <v>0</v>
      </c>
      <c r="U10" s="154">
        <v>0</v>
      </c>
      <c r="V10" s="154">
        <v>0</v>
      </c>
      <c r="W10" s="154"/>
      <c r="X10" s="154"/>
      <c r="Y10" s="154"/>
      <c r="Z10" s="154"/>
      <c r="AA10" s="153"/>
      <c r="AB10" s="242" t="s">
        <v>454</v>
      </c>
      <c r="AC10" s="153">
        <v>742000</v>
      </c>
      <c r="AD10" s="154"/>
      <c r="AE10" s="154"/>
      <c r="AF10" s="154"/>
      <c r="AG10" s="154"/>
      <c r="AH10" s="154"/>
      <c r="AI10" s="154"/>
      <c r="AJ10" s="154"/>
      <c r="AK10" s="154"/>
      <c r="AL10" s="438"/>
      <c r="AM10" s="154">
        <v>0</v>
      </c>
      <c r="AN10" s="154">
        <v>0</v>
      </c>
      <c r="AO10" s="154">
        <v>0</v>
      </c>
      <c r="AP10" s="154"/>
      <c r="AQ10" s="154"/>
      <c r="AR10" s="154"/>
      <c r="AS10" s="154"/>
      <c r="AT10" s="154"/>
      <c r="AU10" s="154">
        <f t="shared" si="7"/>
        <v>0</v>
      </c>
      <c r="AV10" s="154"/>
      <c r="AW10" s="154"/>
      <c r="AX10" s="154"/>
      <c r="AY10" s="154"/>
      <c r="AZ10" s="154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</row>
    <row r="11" spans="1:68" s="158" customFormat="1" ht="31.95" customHeight="1">
      <c r="A11" s="153">
        <f t="shared" si="8"/>
        <v>7</v>
      </c>
      <c r="B11" s="153">
        <v>1238</v>
      </c>
      <c r="C11" s="245" t="s">
        <v>980</v>
      </c>
      <c r="D11" s="154">
        <f>32940000+7560000</f>
        <v>40500000</v>
      </c>
      <c r="E11" s="154">
        <v>32940000</v>
      </c>
      <c r="F11" s="154">
        <f t="shared" si="0"/>
        <v>7560000</v>
      </c>
      <c r="G11" s="154">
        <v>25500000</v>
      </c>
      <c r="H11" s="154">
        <v>25492352</v>
      </c>
      <c r="I11" s="154">
        <v>0</v>
      </c>
      <c r="J11" s="154">
        <v>0</v>
      </c>
      <c r="K11" s="154">
        <f t="shared" si="3"/>
        <v>0</v>
      </c>
      <c r="L11" s="154">
        <f t="shared" si="1"/>
        <v>25492352</v>
      </c>
      <c r="M11" s="154">
        <f t="shared" si="4"/>
        <v>7648</v>
      </c>
      <c r="N11" s="154">
        <f>15000000-5000000-5000000-1000000-2000000</f>
        <v>2000000</v>
      </c>
      <c r="O11" s="154">
        <f t="shared" si="5"/>
        <v>13000000</v>
      </c>
      <c r="P11" s="154">
        <f t="shared" si="2"/>
        <v>7648</v>
      </c>
      <c r="Q11" s="154"/>
      <c r="R11" s="154"/>
      <c r="S11" s="154">
        <f t="shared" si="6"/>
        <v>0</v>
      </c>
      <c r="T11" s="154">
        <v>0</v>
      </c>
      <c r="U11" s="154">
        <v>2000000</v>
      </c>
      <c r="V11" s="154">
        <v>0</v>
      </c>
      <c r="W11" s="154"/>
      <c r="X11" s="154"/>
      <c r="Y11" s="154"/>
      <c r="Z11" s="154"/>
      <c r="AA11" s="154">
        <v>2000000</v>
      </c>
      <c r="AB11" s="259" t="s">
        <v>817</v>
      </c>
      <c r="AC11" s="153">
        <v>742000</v>
      </c>
      <c r="AD11" s="154"/>
      <c r="AE11" s="154"/>
      <c r="AF11" s="154"/>
      <c r="AG11" s="154"/>
      <c r="AH11" s="154"/>
      <c r="AI11" s="154"/>
      <c r="AJ11" s="154"/>
      <c r="AK11" s="154"/>
      <c r="AL11" s="438"/>
      <c r="AM11" s="154">
        <v>0</v>
      </c>
      <c r="AN11" s="154">
        <v>2000000</v>
      </c>
      <c r="AO11" s="154"/>
      <c r="AP11" s="154"/>
      <c r="AQ11" s="154"/>
      <c r="AR11" s="154"/>
      <c r="AS11" s="154"/>
      <c r="AT11" s="154">
        <v>0</v>
      </c>
      <c r="AU11" s="154"/>
      <c r="AV11" s="154"/>
      <c r="AW11" s="154"/>
      <c r="AX11" s="154"/>
      <c r="AY11" s="154"/>
      <c r="AZ11" s="154">
        <f>AL11</f>
        <v>0</v>
      </c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</row>
    <row r="12" spans="1:68" s="158" customFormat="1" ht="31.95" customHeight="1">
      <c r="A12" s="153">
        <f t="shared" si="8"/>
        <v>8</v>
      </c>
      <c r="B12" s="153">
        <v>1298</v>
      </c>
      <c r="C12" s="153" t="s">
        <v>33</v>
      </c>
      <c r="D12" s="154">
        <f>5100000+500000</f>
        <v>5600000</v>
      </c>
      <c r="E12" s="154">
        <v>5100000</v>
      </c>
      <c r="F12" s="154">
        <f t="shared" si="0"/>
        <v>500000</v>
      </c>
      <c r="G12" s="154">
        <f>4700000+100000</f>
        <v>4800000</v>
      </c>
      <c r="H12" s="154">
        <v>4585345</v>
      </c>
      <c r="I12" s="154">
        <v>0</v>
      </c>
      <c r="J12" s="154">
        <v>9813</v>
      </c>
      <c r="K12" s="154">
        <f t="shared" si="3"/>
        <v>9813</v>
      </c>
      <c r="L12" s="154">
        <f t="shared" si="1"/>
        <v>4595158</v>
      </c>
      <c r="M12" s="154">
        <f t="shared" si="4"/>
        <v>504842</v>
      </c>
      <c r="N12" s="154">
        <v>500000</v>
      </c>
      <c r="O12" s="154">
        <f t="shared" si="5"/>
        <v>0</v>
      </c>
      <c r="P12" s="154">
        <f t="shared" si="2"/>
        <v>204842</v>
      </c>
      <c r="Q12" s="154">
        <f>400000-100000</f>
        <v>300000</v>
      </c>
      <c r="R12" s="154"/>
      <c r="S12" s="154">
        <f>SUM(Q12:R12)</f>
        <v>300000</v>
      </c>
      <c r="T12" s="154">
        <v>0</v>
      </c>
      <c r="U12" s="154">
        <v>500000</v>
      </c>
      <c r="V12" s="154">
        <v>500000</v>
      </c>
      <c r="W12" s="154"/>
      <c r="X12" s="154"/>
      <c r="Y12" s="154"/>
      <c r="Z12" s="154"/>
      <c r="AA12" s="153"/>
      <c r="AB12" s="242" t="s">
        <v>272</v>
      </c>
      <c r="AC12" s="153">
        <v>742000</v>
      </c>
      <c r="AD12" s="154"/>
      <c r="AE12" s="154"/>
      <c r="AF12" s="154"/>
      <c r="AG12" s="154"/>
      <c r="AH12" s="154"/>
      <c r="AI12" s="154">
        <v>50000</v>
      </c>
      <c r="AJ12" s="154"/>
      <c r="AK12" s="154">
        <v>50000</v>
      </c>
      <c r="AL12" s="438">
        <v>400000</v>
      </c>
      <c r="AM12" s="154">
        <v>500000</v>
      </c>
      <c r="AN12" s="438">
        <v>0</v>
      </c>
      <c r="AO12" s="154">
        <v>500000</v>
      </c>
      <c r="AP12" s="154"/>
      <c r="AQ12" s="154"/>
      <c r="AR12" s="154"/>
      <c r="AS12" s="154"/>
      <c r="AT12" s="154"/>
      <c r="AU12" s="154">
        <f t="shared" si="7"/>
        <v>400000</v>
      </c>
      <c r="AV12" s="154"/>
      <c r="AW12" s="154"/>
      <c r="AX12" s="154"/>
      <c r="AY12" s="154"/>
      <c r="AZ12" s="154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</row>
    <row r="13" spans="1:68" s="157" customFormat="1" ht="31.95" customHeight="1">
      <c r="A13" s="153">
        <f t="shared" si="8"/>
        <v>9</v>
      </c>
      <c r="B13" s="153">
        <v>1312</v>
      </c>
      <c r="C13" s="153" t="s">
        <v>34</v>
      </c>
      <c r="D13" s="154">
        <f>107231000-2000000</f>
        <v>105231000</v>
      </c>
      <c r="E13" s="154">
        <v>107231000</v>
      </c>
      <c r="F13" s="154">
        <f t="shared" si="0"/>
        <v>-2000000</v>
      </c>
      <c r="G13" s="154">
        <v>107231000</v>
      </c>
      <c r="H13" s="154">
        <v>104424653</v>
      </c>
      <c r="I13" s="154">
        <v>0</v>
      </c>
      <c r="J13" s="154">
        <v>191551</v>
      </c>
      <c r="K13" s="154">
        <f t="shared" si="3"/>
        <v>191551</v>
      </c>
      <c r="L13" s="154">
        <f t="shared" si="1"/>
        <v>104616204</v>
      </c>
      <c r="M13" s="154">
        <f>P13+S13-2000000</f>
        <v>614796</v>
      </c>
      <c r="N13" s="154"/>
      <c r="O13" s="154">
        <f t="shared" si="5"/>
        <v>0</v>
      </c>
      <c r="P13" s="154">
        <f t="shared" si="2"/>
        <v>2614796</v>
      </c>
      <c r="Q13" s="154"/>
      <c r="R13" s="154"/>
      <c r="S13" s="154">
        <f t="shared" ref="S13:S23" si="9">SUM(Q13:R13)</f>
        <v>0</v>
      </c>
      <c r="T13" s="154">
        <v>2000000</v>
      </c>
      <c r="U13" s="154">
        <v>-2000000</v>
      </c>
      <c r="V13" s="154">
        <v>-2000000</v>
      </c>
      <c r="W13" s="154"/>
      <c r="X13" s="154"/>
      <c r="Y13" s="154"/>
      <c r="Z13" s="154"/>
      <c r="AA13" s="153"/>
      <c r="AB13" s="153" t="s">
        <v>738</v>
      </c>
      <c r="AC13" s="153">
        <v>930000</v>
      </c>
      <c r="AD13" s="154"/>
      <c r="AE13" s="154"/>
      <c r="AF13" s="154"/>
      <c r="AG13" s="154"/>
      <c r="AH13" s="154"/>
      <c r="AI13" s="154"/>
      <c r="AJ13" s="154"/>
      <c r="AK13" s="485">
        <v>-1000000</v>
      </c>
      <c r="AL13" s="438">
        <v>-780000</v>
      </c>
      <c r="AM13" s="154">
        <v>-1780000</v>
      </c>
      <c r="AN13" s="154">
        <v>-220000</v>
      </c>
      <c r="AO13" s="154">
        <v>-1780000</v>
      </c>
      <c r="AP13" s="154"/>
      <c r="AQ13" s="154"/>
      <c r="AR13" s="154"/>
      <c r="AS13" s="154"/>
      <c r="AT13" s="154"/>
      <c r="AU13" s="154">
        <f t="shared" si="7"/>
        <v>-780000</v>
      </c>
      <c r="AV13" s="154"/>
      <c r="AW13" s="154"/>
      <c r="AX13" s="154"/>
      <c r="AY13" s="154"/>
      <c r="AZ13" s="154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</row>
    <row r="14" spans="1:68" s="5" customFormat="1" ht="31.95" customHeight="1">
      <c r="A14" s="153">
        <f t="shared" si="8"/>
        <v>10</v>
      </c>
      <c r="B14" s="3">
        <v>1314</v>
      </c>
      <c r="C14" s="3" t="s">
        <v>42</v>
      </c>
      <c r="D14" s="4">
        <f>5300000-2100000</f>
        <v>3200000</v>
      </c>
      <c r="E14" s="4">
        <v>3200000</v>
      </c>
      <c r="F14" s="154">
        <f t="shared" si="0"/>
        <v>0</v>
      </c>
      <c r="G14" s="4">
        <v>660000</v>
      </c>
      <c r="H14" s="4">
        <v>539291</v>
      </c>
      <c r="I14" s="4">
        <v>0</v>
      </c>
      <c r="J14" s="4">
        <v>105607</v>
      </c>
      <c r="K14" s="154">
        <f t="shared" si="3"/>
        <v>105607</v>
      </c>
      <c r="L14" s="154">
        <f t="shared" si="1"/>
        <v>644898</v>
      </c>
      <c r="M14" s="154">
        <f t="shared" si="4"/>
        <v>15102</v>
      </c>
      <c r="N14" s="154">
        <f>4640000-1000000-1640000-500000-500000</f>
        <v>1000000</v>
      </c>
      <c r="O14" s="154">
        <f t="shared" si="5"/>
        <v>1540000</v>
      </c>
      <c r="P14" s="154">
        <f t="shared" si="2"/>
        <v>15102</v>
      </c>
      <c r="Q14" s="154"/>
      <c r="R14" s="154"/>
      <c r="S14" s="154">
        <f t="shared" si="9"/>
        <v>0</v>
      </c>
      <c r="T14" s="154">
        <v>0</v>
      </c>
      <c r="U14" s="154">
        <v>1000000</v>
      </c>
      <c r="V14" s="154">
        <v>1000000</v>
      </c>
      <c r="W14" s="154"/>
      <c r="X14" s="154"/>
      <c r="Y14" s="154"/>
      <c r="Z14" s="154"/>
      <c r="AA14" s="153"/>
      <c r="AB14" s="3" t="s">
        <v>457</v>
      </c>
      <c r="AC14" s="3">
        <v>742000</v>
      </c>
      <c r="AD14" s="154"/>
      <c r="AE14" s="154"/>
      <c r="AF14" s="154"/>
      <c r="AG14" s="154">
        <v>1000000</v>
      </c>
      <c r="AH14" s="154"/>
      <c r="AI14" s="154"/>
      <c r="AJ14" s="154"/>
      <c r="AK14" s="154"/>
      <c r="AL14" s="438"/>
      <c r="AM14" s="154">
        <v>1000000</v>
      </c>
      <c r="AN14" s="154">
        <v>0</v>
      </c>
      <c r="AO14" s="154">
        <v>1000000</v>
      </c>
      <c r="AP14" s="154"/>
      <c r="AQ14" s="154"/>
      <c r="AR14" s="154"/>
      <c r="AS14" s="154"/>
      <c r="AT14" s="154"/>
      <c r="AU14" s="154">
        <f t="shared" si="7"/>
        <v>0</v>
      </c>
      <c r="AV14" s="154"/>
      <c r="AW14" s="154"/>
      <c r="AX14" s="154"/>
      <c r="AY14" s="154"/>
      <c r="AZ14" s="154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</row>
    <row r="15" spans="1:68" s="5" customFormat="1" ht="31.95" customHeight="1">
      <c r="A15" s="153">
        <f t="shared" si="8"/>
        <v>11</v>
      </c>
      <c r="B15" s="3">
        <v>1322</v>
      </c>
      <c r="C15" s="3" t="s">
        <v>35</v>
      </c>
      <c r="D15" s="4">
        <v>18500000</v>
      </c>
      <c r="E15" s="4">
        <v>18500000</v>
      </c>
      <c r="F15" s="154">
        <f t="shared" si="0"/>
        <v>0</v>
      </c>
      <c r="G15" s="4">
        <v>10850000</v>
      </c>
      <c r="H15" s="4">
        <v>9799391</v>
      </c>
      <c r="I15" s="4">
        <v>0</v>
      </c>
      <c r="J15" s="4">
        <v>12508</v>
      </c>
      <c r="K15" s="154">
        <f t="shared" si="3"/>
        <v>12508</v>
      </c>
      <c r="L15" s="154">
        <f t="shared" si="1"/>
        <v>9811899</v>
      </c>
      <c r="M15" s="154">
        <f t="shared" si="4"/>
        <v>1038101</v>
      </c>
      <c r="N15" s="154">
        <f>7650000-3825000-1325000-750000-250000-300000</f>
        <v>1200000</v>
      </c>
      <c r="O15" s="154">
        <f t="shared" si="5"/>
        <v>6450000</v>
      </c>
      <c r="P15" s="154">
        <f t="shared" si="2"/>
        <v>1038101</v>
      </c>
      <c r="Q15" s="154"/>
      <c r="R15" s="154"/>
      <c r="S15" s="154">
        <f t="shared" si="9"/>
        <v>0</v>
      </c>
      <c r="T15" s="154">
        <v>0</v>
      </c>
      <c r="U15" s="154">
        <v>1200000</v>
      </c>
      <c r="V15" s="154">
        <v>1200000</v>
      </c>
      <c r="W15" s="154"/>
      <c r="X15" s="154"/>
      <c r="Y15" s="154"/>
      <c r="Z15" s="154"/>
      <c r="AA15" s="153"/>
      <c r="AB15" s="3" t="s">
        <v>586</v>
      </c>
      <c r="AC15" s="3">
        <v>742000</v>
      </c>
      <c r="AD15" s="154"/>
      <c r="AE15" s="154"/>
      <c r="AF15" s="154"/>
      <c r="AG15" s="154"/>
      <c r="AH15" s="154"/>
      <c r="AI15" s="154"/>
      <c r="AJ15" s="154"/>
      <c r="AK15" s="154"/>
      <c r="AL15" s="438"/>
      <c r="AM15" s="154">
        <v>0</v>
      </c>
      <c r="AN15" s="154">
        <v>1200000</v>
      </c>
      <c r="AO15" s="154">
        <v>0</v>
      </c>
      <c r="AP15" s="154"/>
      <c r="AQ15" s="154"/>
      <c r="AR15" s="154"/>
      <c r="AS15" s="154"/>
      <c r="AT15" s="154"/>
      <c r="AU15" s="154">
        <f t="shared" si="7"/>
        <v>0</v>
      </c>
      <c r="AV15" s="154"/>
      <c r="AW15" s="154"/>
      <c r="AX15" s="154"/>
      <c r="AY15" s="154"/>
      <c r="AZ15" s="154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</row>
    <row r="16" spans="1:68" s="5" customFormat="1" ht="31.95" customHeight="1">
      <c r="A16" s="153">
        <f t="shared" si="8"/>
        <v>12</v>
      </c>
      <c r="B16" s="3">
        <v>1357</v>
      </c>
      <c r="C16" s="3" t="s">
        <v>43</v>
      </c>
      <c r="D16" s="4">
        <v>25000000</v>
      </c>
      <c r="E16" s="4">
        <v>25000000</v>
      </c>
      <c r="F16" s="154">
        <f t="shared" si="0"/>
        <v>0</v>
      </c>
      <c r="G16" s="4">
        <v>18062000</v>
      </c>
      <c r="H16" s="4">
        <v>16695866</v>
      </c>
      <c r="I16" s="4">
        <v>0</v>
      </c>
      <c r="J16" s="4">
        <v>1054598</v>
      </c>
      <c r="K16" s="154">
        <f t="shared" si="3"/>
        <v>1054598</v>
      </c>
      <c r="L16" s="154">
        <f t="shared" si="1"/>
        <v>17750464</v>
      </c>
      <c r="M16" s="154">
        <f t="shared" si="4"/>
        <v>361536</v>
      </c>
      <c r="N16" s="154">
        <v>700000</v>
      </c>
      <c r="O16" s="154">
        <f t="shared" si="5"/>
        <v>6188000</v>
      </c>
      <c r="P16" s="154">
        <f t="shared" si="2"/>
        <v>311536</v>
      </c>
      <c r="Q16" s="154">
        <v>50000</v>
      </c>
      <c r="R16" s="154"/>
      <c r="S16" s="154">
        <f t="shared" si="9"/>
        <v>50000</v>
      </c>
      <c r="T16" s="154">
        <v>0</v>
      </c>
      <c r="U16" s="154">
        <v>700000</v>
      </c>
      <c r="V16" s="154">
        <v>700000</v>
      </c>
      <c r="W16" s="154"/>
      <c r="X16" s="154"/>
      <c r="Y16" s="154"/>
      <c r="Z16" s="154"/>
      <c r="AA16" s="153"/>
      <c r="AB16" s="3" t="s">
        <v>739</v>
      </c>
      <c r="AC16" s="3">
        <v>829000</v>
      </c>
      <c r="AD16" s="154"/>
      <c r="AE16" s="154"/>
      <c r="AF16" s="154"/>
      <c r="AG16" s="154"/>
      <c r="AH16" s="154"/>
      <c r="AI16" s="154"/>
      <c r="AJ16" s="154"/>
      <c r="AK16" s="154"/>
      <c r="AL16" s="438">
        <v>700000</v>
      </c>
      <c r="AM16" s="154">
        <v>700000</v>
      </c>
      <c r="AN16" s="438">
        <v>0</v>
      </c>
      <c r="AO16" s="154">
        <v>700000</v>
      </c>
      <c r="AP16" s="154"/>
      <c r="AQ16" s="154"/>
      <c r="AR16" s="154"/>
      <c r="AS16" s="154"/>
      <c r="AT16" s="154"/>
      <c r="AU16" s="154">
        <f t="shared" si="7"/>
        <v>700000</v>
      </c>
      <c r="AV16" s="154"/>
      <c r="AW16" s="154"/>
      <c r="AX16" s="154"/>
      <c r="AY16" s="154"/>
      <c r="AZ16" s="154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</row>
    <row r="17" spans="1:68" s="157" customFormat="1" ht="31.95" customHeight="1">
      <c r="A17" s="153">
        <f t="shared" si="8"/>
        <v>13</v>
      </c>
      <c r="B17" s="153">
        <v>1375</v>
      </c>
      <c r="C17" s="153" t="s">
        <v>352</v>
      </c>
      <c r="D17" s="154">
        <v>40150000</v>
      </c>
      <c r="E17" s="154">
        <v>40150000</v>
      </c>
      <c r="F17" s="154">
        <f t="shared" si="0"/>
        <v>0</v>
      </c>
      <c r="G17" s="154">
        <v>30150000</v>
      </c>
      <c r="H17" s="154">
        <v>29602392</v>
      </c>
      <c r="I17" s="154">
        <v>0</v>
      </c>
      <c r="J17" s="154">
        <v>110367</v>
      </c>
      <c r="K17" s="154">
        <f t="shared" si="3"/>
        <v>110367</v>
      </c>
      <c r="L17" s="154">
        <f t="shared" si="1"/>
        <v>29712759</v>
      </c>
      <c r="M17" s="154">
        <f t="shared" si="4"/>
        <v>437241</v>
      </c>
      <c r="N17" s="154"/>
      <c r="O17" s="154">
        <f t="shared" si="5"/>
        <v>10000000</v>
      </c>
      <c r="P17" s="154">
        <f t="shared" si="2"/>
        <v>437241</v>
      </c>
      <c r="Q17" s="154"/>
      <c r="R17" s="154"/>
      <c r="S17" s="154">
        <f t="shared" si="9"/>
        <v>0</v>
      </c>
      <c r="T17" s="154">
        <v>0</v>
      </c>
      <c r="U17" s="154">
        <v>0</v>
      </c>
      <c r="V17" s="154">
        <v>0</v>
      </c>
      <c r="W17" s="154"/>
      <c r="X17" s="154"/>
      <c r="Y17" s="154"/>
      <c r="Z17" s="154"/>
      <c r="AA17" s="153"/>
      <c r="AB17" s="153" t="s">
        <v>532</v>
      </c>
      <c r="AC17" s="153">
        <v>747000</v>
      </c>
      <c r="AD17" s="154"/>
      <c r="AE17" s="154"/>
      <c r="AF17" s="154"/>
      <c r="AG17" s="154"/>
      <c r="AH17" s="154"/>
      <c r="AI17" s="154"/>
      <c r="AJ17" s="154"/>
      <c r="AK17" s="154"/>
      <c r="AL17" s="438"/>
      <c r="AM17" s="154">
        <v>0</v>
      </c>
      <c r="AN17" s="154">
        <v>0</v>
      </c>
      <c r="AO17" s="154">
        <v>0</v>
      </c>
      <c r="AP17" s="154"/>
      <c r="AQ17" s="154"/>
      <c r="AR17" s="154"/>
      <c r="AS17" s="154"/>
      <c r="AT17" s="154"/>
      <c r="AU17" s="154">
        <f t="shared" si="7"/>
        <v>0</v>
      </c>
      <c r="AV17" s="154"/>
      <c r="AW17" s="154"/>
      <c r="AX17" s="154"/>
      <c r="AY17" s="154"/>
      <c r="AZ17" s="154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</row>
    <row r="18" spans="1:68" s="157" customFormat="1" ht="31.95" customHeight="1">
      <c r="A18" s="153">
        <f t="shared" si="8"/>
        <v>14</v>
      </c>
      <c r="B18" s="153">
        <v>1443</v>
      </c>
      <c r="C18" s="153" t="s">
        <v>1211</v>
      </c>
      <c r="D18" s="154">
        <v>78500000</v>
      </c>
      <c r="E18" s="154">
        <v>78500000</v>
      </c>
      <c r="F18" s="154">
        <f t="shared" si="0"/>
        <v>0</v>
      </c>
      <c r="G18" s="154">
        <v>53840000</v>
      </c>
      <c r="H18" s="154">
        <v>53697797</v>
      </c>
      <c r="I18" s="154">
        <v>0</v>
      </c>
      <c r="J18" s="154">
        <v>0</v>
      </c>
      <c r="K18" s="154">
        <f t="shared" si="3"/>
        <v>0</v>
      </c>
      <c r="L18" s="154">
        <f t="shared" si="1"/>
        <v>53697797</v>
      </c>
      <c r="M18" s="154">
        <f t="shared" si="4"/>
        <v>13004005</v>
      </c>
      <c r="N18" s="154"/>
      <c r="O18" s="154">
        <f t="shared" si="5"/>
        <v>11798198</v>
      </c>
      <c r="P18" s="154">
        <f t="shared" si="2"/>
        <v>142203</v>
      </c>
      <c r="Q18" s="154"/>
      <c r="R18" s="154">
        <v>12861802</v>
      </c>
      <c r="S18" s="154">
        <f t="shared" si="9"/>
        <v>12861802</v>
      </c>
      <c r="T18" s="154">
        <v>0</v>
      </c>
      <c r="U18" s="154">
        <v>0</v>
      </c>
      <c r="V18" s="154">
        <v>0</v>
      </c>
      <c r="W18" s="154"/>
      <c r="X18" s="154"/>
      <c r="Y18" s="154"/>
      <c r="Z18" s="154"/>
      <c r="AA18" s="153"/>
      <c r="AB18" s="153"/>
      <c r="AC18" s="153">
        <v>749000</v>
      </c>
      <c r="AD18" s="154"/>
      <c r="AE18" s="154"/>
      <c r="AF18" s="154"/>
      <c r="AG18" s="154"/>
      <c r="AH18" s="154"/>
      <c r="AI18" s="154"/>
      <c r="AJ18" s="154"/>
      <c r="AK18" s="154"/>
      <c r="AL18" s="438"/>
      <c r="AM18" s="154">
        <v>0</v>
      </c>
      <c r="AN18" s="154">
        <v>0</v>
      </c>
      <c r="AO18" s="154">
        <v>0</v>
      </c>
      <c r="AP18" s="154"/>
      <c r="AQ18" s="154"/>
      <c r="AR18" s="154"/>
      <c r="AS18" s="154"/>
      <c r="AT18" s="154"/>
      <c r="AU18" s="154">
        <f t="shared" si="7"/>
        <v>0</v>
      </c>
      <c r="AV18" s="154"/>
      <c r="AW18" s="154"/>
      <c r="AX18" s="154"/>
      <c r="AY18" s="154"/>
      <c r="AZ18" s="154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</row>
    <row r="19" spans="1:68" s="157" customFormat="1" ht="31.95" customHeight="1">
      <c r="A19" s="153">
        <f t="shared" si="8"/>
        <v>15</v>
      </c>
      <c r="B19" s="153">
        <v>1446</v>
      </c>
      <c r="C19" s="153" t="s">
        <v>981</v>
      </c>
      <c r="D19" s="154">
        <f>14250000-3000000</f>
        <v>11250000</v>
      </c>
      <c r="E19" s="154">
        <v>14250000</v>
      </c>
      <c r="F19" s="154">
        <f t="shared" si="0"/>
        <v>-3000000</v>
      </c>
      <c r="G19" s="154">
        <v>14250000</v>
      </c>
      <c r="H19" s="154">
        <v>9566469</v>
      </c>
      <c r="I19" s="154">
        <v>0</v>
      </c>
      <c r="J19" s="154">
        <v>377656</v>
      </c>
      <c r="K19" s="154">
        <f t="shared" si="3"/>
        <v>377656</v>
      </c>
      <c r="L19" s="154">
        <f t="shared" si="1"/>
        <v>9944125</v>
      </c>
      <c r="M19" s="154">
        <f>P19+S19-3000000</f>
        <v>1305875</v>
      </c>
      <c r="N19" s="154"/>
      <c r="O19" s="154">
        <f t="shared" si="5"/>
        <v>0</v>
      </c>
      <c r="P19" s="154">
        <f t="shared" si="2"/>
        <v>4305875</v>
      </c>
      <c r="Q19" s="154"/>
      <c r="R19" s="154"/>
      <c r="S19" s="154">
        <f t="shared" si="9"/>
        <v>0</v>
      </c>
      <c r="T19" s="154">
        <v>3000000</v>
      </c>
      <c r="U19" s="154">
        <v>-3000000</v>
      </c>
      <c r="V19" s="154">
        <v>-3000000</v>
      </c>
      <c r="W19" s="154"/>
      <c r="X19" s="154"/>
      <c r="Y19" s="154"/>
      <c r="Z19" s="154"/>
      <c r="AA19" s="153"/>
      <c r="AB19" s="242" t="s">
        <v>982</v>
      </c>
      <c r="AC19" s="153">
        <v>742000</v>
      </c>
      <c r="AD19" s="154"/>
      <c r="AE19" s="154"/>
      <c r="AF19" s="154">
        <v>-3000000</v>
      </c>
      <c r="AG19" s="154"/>
      <c r="AH19" s="154"/>
      <c r="AI19" s="154"/>
      <c r="AJ19" s="154"/>
      <c r="AK19" s="154"/>
      <c r="AL19" s="438"/>
      <c r="AM19" s="154">
        <v>-3000000</v>
      </c>
      <c r="AN19" s="154">
        <v>0</v>
      </c>
      <c r="AO19" s="154">
        <v>-3000000</v>
      </c>
      <c r="AP19" s="154"/>
      <c r="AQ19" s="154"/>
      <c r="AR19" s="154"/>
      <c r="AS19" s="154"/>
      <c r="AT19" s="154"/>
      <c r="AU19" s="154">
        <f t="shared" si="7"/>
        <v>0</v>
      </c>
      <c r="AV19" s="154"/>
      <c r="AW19" s="154"/>
      <c r="AX19" s="154"/>
      <c r="AY19" s="154"/>
      <c r="AZ19" s="154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</row>
    <row r="20" spans="1:68" s="157" customFormat="1" ht="31.95" customHeight="1">
      <c r="A20" s="153">
        <f t="shared" si="8"/>
        <v>16</v>
      </c>
      <c r="B20" s="153">
        <v>1539</v>
      </c>
      <c r="C20" s="153" t="s">
        <v>983</v>
      </c>
      <c r="D20" s="154">
        <f>16300000-1150000</f>
        <v>15150000</v>
      </c>
      <c r="E20" s="154">
        <v>16300000</v>
      </c>
      <c r="F20" s="154">
        <f t="shared" si="0"/>
        <v>-1150000</v>
      </c>
      <c r="G20" s="154">
        <v>15300000</v>
      </c>
      <c r="H20" s="154">
        <v>14749061</v>
      </c>
      <c r="I20" s="154">
        <v>54264</v>
      </c>
      <c r="J20" s="154">
        <v>92533</v>
      </c>
      <c r="K20" s="154">
        <f t="shared" si="3"/>
        <v>146797</v>
      </c>
      <c r="L20" s="154">
        <f t="shared" si="1"/>
        <v>14895858</v>
      </c>
      <c r="M20" s="154">
        <f>P20+S20-150000</f>
        <v>254142</v>
      </c>
      <c r="N20" s="154"/>
      <c r="O20" s="154">
        <f t="shared" si="5"/>
        <v>0</v>
      </c>
      <c r="P20" s="154">
        <f t="shared" si="2"/>
        <v>404142</v>
      </c>
      <c r="Q20" s="154"/>
      <c r="R20" s="154"/>
      <c r="S20" s="154">
        <f t="shared" si="9"/>
        <v>0</v>
      </c>
      <c r="T20" s="154">
        <v>150000</v>
      </c>
      <c r="U20" s="154">
        <v>-150000</v>
      </c>
      <c r="V20" s="154">
        <v>-150000</v>
      </c>
      <c r="W20" s="154"/>
      <c r="X20" s="154"/>
      <c r="Y20" s="154"/>
      <c r="Z20" s="154"/>
      <c r="AA20" s="153"/>
      <c r="AB20" s="153" t="s">
        <v>984</v>
      </c>
      <c r="AC20" s="153">
        <v>742000</v>
      </c>
      <c r="AD20" s="154"/>
      <c r="AE20" s="154"/>
      <c r="AF20" s="154"/>
      <c r="AG20" s="154"/>
      <c r="AH20" s="154">
        <v>-150000</v>
      </c>
      <c r="AI20" s="154"/>
      <c r="AJ20" s="154"/>
      <c r="AK20" s="154"/>
      <c r="AL20" s="438"/>
      <c r="AM20" s="154">
        <v>-150000</v>
      </c>
      <c r="AN20" s="154">
        <v>0</v>
      </c>
      <c r="AO20" s="154">
        <v>-150000</v>
      </c>
      <c r="AP20" s="154"/>
      <c r="AQ20" s="154"/>
      <c r="AR20" s="154"/>
      <c r="AS20" s="154"/>
      <c r="AT20" s="154"/>
      <c r="AU20" s="154">
        <f t="shared" si="7"/>
        <v>0</v>
      </c>
      <c r="AV20" s="154"/>
      <c r="AW20" s="154"/>
      <c r="AX20" s="154"/>
      <c r="AY20" s="154"/>
      <c r="AZ20" s="154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</row>
    <row r="21" spans="1:68" s="157" customFormat="1" ht="31.95" customHeight="1">
      <c r="A21" s="153">
        <f t="shared" si="8"/>
        <v>17</v>
      </c>
      <c r="B21" s="153">
        <v>1588</v>
      </c>
      <c r="C21" s="153" t="s">
        <v>25</v>
      </c>
      <c r="D21" s="154">
        <f>50500000+22000000-22000000</f>
        <v>50500000</v>
      </c>
      <c r="E21" s="154">
        <v>50500000</v>
      </c>
      <c r="F21" s="154">
        <f t="shared" si="0"/>
        <v>0</v>
      </c>
      <c r="G21" s="154">
        <v>45500000</v>
      </c>
      <c r="H21" s="154">
        <v>35984164</v>
      </c>
      <c r="I21" s="154">
        <v>0</v>
      </c>
      <c r="J21" s="154">
        <v>959113</v>
      </c>
      <c r="K21" s="154">
        <f t="shared" si="3"/>
        <v>959113</v>
      </c>
      <c r="L21" s="154">
        <f t="shared" si="1"/>
        <v>36943277</v>
      </c>
      <c r="M21" s="154">
        <f t="shared" si="4"/>
        <v>8556723</v>
      </c>
      <c r="N21" s="154">
        <f>14000000-4000000-2000000-2000000-1000000-1000000</f>
        <v>4000000</v>
      </c>
      <c r="O21" s="154">
        <f t="shared" si="5"/>
        <v>1000000</v>
      </c>
      <c r="P21" s="154">
        <f t="shared" si="2"/>
        <v>8556723</v>
      </c>
      <c r="Q21" s="154"/>
      <c r="R21" s="154"/>
      <c r="S21" s="154">
        <f t="shared" si="9"/>
        <v>0</v>
      </c>
      <c r="T21" s="154">
        <v>0</v>
      </c>
      <c r="U21" s="154">
        <v>4000000</v>
      </c>
      <c r="V21" s="154">
        <v>4000000</v>
      </c>
      <c r="W21" s="154"/>
      <c r="X21" s="154"/>
      <c r="Y21" s="154"/>
      <c r="Z21" s="154"/>
      <c r="AA21" s="153"/>
      <c r="AB21" s="153" t="s">
        <v>985</v>
      </c>
      <c r="AC21" s="153">
        <v>742000</v>
      </c>
      <c r="AD21" s="154"/>
      <c r="AE21" s="154"/>
      <c r="AF21" s="154"/>
      <c r="AG21" s="154"/>
      <c r="AH21" s="154"/>
      <c r="AI21" s="154"/>
      <c r="AJ21" s="154"/>
      <c r="AK21" s="154"/>
      <c r="AL21" s="438"/>
      <c r="AM21" s="154">
        <v>0</v>
      </c>
      <c r="AN21" s="154">
        <v>4000000</v>
      </c>
      <c r="AO21" s="154">
        <v>0</v>
      </c>
      <c r="AP21" s="154"/>
      <c r="AQ21" s="154"/>
      <c r="AR21" s="154"/>
      <c r="AS21" s="154"/>
      <c r="AT21" s="154"/>
      <c r="AU21" s="154">
        <f t="shared" si="7"/>
        <v>0</v>
      </c>
      <c r="AV21" s="154"/>
      <c r="AW21" s="154"/>
      <c r="AX21" s="154"/>
      <c r="AY21" s="154"/>
      <c r="AZ21" s="154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</row>
    <row r="22" spans="1:68" s="157" customFormat="1" ht="31.95" customHeight="1">
      <c r="A22" s="153">
        <f t="shared" si="8"/>
        <v>18</v>
      </c>
      <c r="B22" s="153">
        <v>1614</v>
      </c>
      <c r="C22" s="153" t="s">
        <v>986</v>
      </c>
      <c r="D22" s="154">
        <v>7200000</v>
      </c>
      <c r="E22" s="154">
        <v>7200000</v>
      </c>
      <c r="F22" s="154">
        <f t="shared" si="0"/>
        <v>0</v>
      </c>
      <c r="G22" s="154">
        <v>5680000</v>
      </c>
      <c r="H22" s="154">
        <v>4993741</v>
      </c>
      <c r="I22" s="154">
        <v>0</v>
      </c>
      <c r="J22" s="154">
        <v>61352</v>
      </c>
      <c r="K22" s="154">
        <f t="shared" si="3"/>
        <v>61352</v>
      </c>
      <c r="L22" s="154">
        <f t="shared" si="1"/>
        <v>5055093</v>
      </c>
      <c r="M22" s="154">
        <f t="shared" si="4"/>
        <v>624907</v>
      </c>
      <c r="N22" s="154">
        <f>1520000-500000-1020000</f>
        <v>0</v>
      </c>
      <c r="O22" s="154">
        <f t="shared" si="5"/>
        <v>1520000</v>
      </c>
      <c r="P22" s="154">
        <f t="shared" si="2"/>
        <v>624907</v>
      </c>
      <c r="Q22" s="154"/>
      <c r="R22" s="154"/>
      <c r="S22" s="154">
        <f t="shared" si="9"/>
        <v>0</v>
      </c>
      <c r="T22" s="154">
        <v>0</v>
      </c>
      <c r="U22" s="154">
        <v>0</v>
      </c>
      <c r="V22" s="154">
        <v>0</v>
      </c>
      <c r="W22" s="154"/>
      <c r="X22" s="154"/>
      <c r="Y22" s="154"/>
      <c r="Z22" s="154"/>
      <c r="AA22" s="153"/>
      <c r="AB22" s="153" t="s">
        <v>533</v>
      </c>
      <c r="AC22" s="153">
        <v>742000</v>
      </c>
      <c r="AD22" s="154"/>
      <c r="AE22" s="154"/>
      <c r="AF22" s="154"/>
      <c r="AG22" s="154"/>
      <c r="AH22" s="154"/>
      <c r="AI22" s="154"/>
      <c r="AJ22" s="154"/>
      <c r="AK22" s="154"/>
      <c r="AL22" s="438"/>
      <c r="AM22" s="154">
        <v>0</v>
      </c>
      <c r="AN22" s="154">
        <v>0</v>
      </c>
      <c r="AO22" s="154">
        <v>0</v>
      </c>
      <c r="AP22" s="154"/>
      <c r="AQ22" s="154"/>
      <c r="AR22" s="154"/>
      <c r="AS22" s="154"/>
      <c r="AT22" s="154"/>
      <c r="AU22" s="154">
        <f t="shared" si="7"/>
        <v>0</v>
      </c>
      <c r="AV22" s="154"/>
      <c r="AW22" s="154"/>
      <c r="AX22" s="154"/>
      <c r="AY22" s="154"/>
      <c r="AZ22" s="154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</row>
    <row r="23" spans="1:68" s="157" customFormat="1" ht="31.95" customHeight="1">
      <c r="A23" s="153">
        <f t="shared" si="8"/>
        <v>19</v>
      </c>
      <c r="B23" s="153">
        <v>1615</v>
      </c>
      <c r="C23" s="153" t="s">
        <v>104</v>
      </c>
      <c r="D23" s="154">
        <v>27700000</v>
      </c>
      <c r="E23" s="154">
        <v>27700000</v>
      </c>
      <c r="F23" s="154">
        <f t="shared" si="0"/>
        <v>0</v>
      </c>
      <c r="G23" s="154">
        <v>21700000</v>
      </c>
      <c r="H23" s="154">
        <v>20717959</v>
      </c>
      <c r="I23" s="154">
        <v>0</v>
      </c>
      <c r="J23" s="154">
        <v>933879</v>
      </c>
      <c r="K23" s="154">
        <f t="shared" si="3"/>
        <v>933879</v>
      </c>
      <c r="L23" s="154">
        <f t="shared" si="1"/>
        <v>21651838</v>
      </c>
      <c r="M23" s="154">
        <f t="shared" si="4"/>
        <v>2048162</v>
      </c>
      <c r="N23" s="154">
        <v>300000</v>
      </c>
      <c r="O23" s="154">
        <f t="shared" si="5"/>
        <v>3700000</v>
      </c>
      <c r="P23" s="154">
        <f t="shared" si="2"/>
        <v>48162</v>
      </c>
      <c r="Q23" s="154">
        <v>2000000</v>
      </c>
      <c r="R23" s="154"/>
      <c r="S23" s="154">
        <f t="shared" si="9"/>
        <v>2000000</v>
      </c>
      <c r="T23" s="154">
        <v>0</v>
      </c>
      <c r="U23" s="154">
        <v>300000</v>
      </c>
      <c r="V23" s="154">
        <v>300000</v>
      </c>
      <c r="W23" s="154"/>
      <c r="X23" s="154"/>
      <c r="Y23" s="154"/>
      <c r="Z23" s="154"/>
      <c r="AA23" s="153"/>
      <c r="AB23" s="153" t="s">
        <v>786</v>
      </c>
      <c r="AC23" s="153">
        <v>742000</v>
      </c>
      <c r="AD23" s="154"/>
      <c r="AE23" s="154"/>
      <c r="AF23" s="154"/>
      <c r="AG23" s="154"/>
      <c r="AH23" s="154"/>
      <c r="AI23" s="154"/>
      <c r="AJ23" s="154"/>
      <c r="AK23" s="154"/>
      <c r="AL23" s="438"/>
      <c r="AM23" s="154">
        <v>0</v>
      </c>
      <c r="AN23" s="154">
        <v>300000</v>
      </c>
      <c r="AO23" s="154">
        <v>0</v>
      </c>
      <c r="AP23" s="154"/>
      <c r="AQ23" s="154"/>
      <c r="AR23" s="154"/>
      <c r="AS23" s="154"/>
      <c r="AT23" s="154"/>
      <c r="AU23" s="154">
        <f t="shared" si="7"/>
        <v>0</v>
      </c>
      <c r="AV23" s="154"/>
      <c r="AW23" s="154"/>
      <c r="AX23" s="154"/>
      <c r="AY23" s="154"/>
      <c r="AZ23" s="154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</row>
    <row r="24" spans="1:68" s="157" customFormat="1" ht="31.95" customHeight="1">
      <c r="A24" s="153">
        <f t="shared" si="8"/>
        <v>20</v>
      </c>
      <c r="B24" s="153">
        <v>1657</v>
      </c>
      <c r="C24" s="153" t="s">
        <v>27</v>
      </c>
      <c r="D24" s="154">
        <v>60000000</v>
      </c>
      <c r="E24" s="154">
        <v>60000000</v>
      </c>
      <c r="F24" s="154">
        <f t="shared" si="0"/>
        <v>0</v>
      </c>
      <c r="G24" s="154">
        <v>21200000</v>
      </c>
      <c r="H24" s="154">
        <v>18382673</v>
      </c>
      <c r="I24" s="154">
        <v>0</v>
      </c>
      <c r="J24" s="154">
        <v>676653</v>
      </c>
      <c r="K24" s="154">
        <f t="shared" si="3"/>
        <v>676653</v>
      </c>
      <c r="L24" s="154">
        <f t="shared" si="1"/>
        <v>19059326</v>
      </c>
      <c r="M24" s="154">
        <f t="shared" si="4"/>
        <v>17140674</v>
      </c>
      <c r="N24" s="154">
        <f>23800000-8800000-5000000-1000000-1000000-6000000</f>
        <v>2000000</v>
      </c>
      <c r="O24" s="154">
        <f t="shared" si="5"/>
        <v>21800000</v>
      </c>
      <c r="P24" s="154">
        <f t="shared" si="2"/>
        <v>2140674</v>
      </c>
      <c r="Q24" s="154">
        <v>15000000</v>
      </c>
      <c r="R24" s="154"/>
      <c r="S24" s="154">
        <f t="shared" ref="S24:S54" si="10">SUM(Q24:R24)</f>
        <v>15000000</v>
      </c>
      <c r="T24" s="154">
        <v>0</v>
      </c>
      <c r="U24" s="154">
        <v>2000000</v>
      </c>
      <c r="V24" s="154">
        <v>2000000</v>
      </c>
      <c r="W24" s="154"/>
      <c r="X24" s="154"/>
      <c r="Y24" s="154"/>
      <c r="Z24" s="154"/>
      <c r="AA24" s="153"/>
      <c r="AB24" s="3" t="s">
        <v>740</v>
      </c>
      <c r="AC24" s="153">
        <v>742000</v>
      </c>
      <c r="AD24" s="154"/>
      <c r="AE24" s="154"/>
      <c r="AF24" s="154"/>
      <c r="AG24" s="154"/>
      <c r="AH24" s="154"/>
      <c r="AI24" s="154"/>
      <c r="AJ24" s="154"/>
      <c r="AK24" s="154"/>
      <c r="AL24" s="438">
        <v>2000000</v>
      </c>
      <c r="AM24" s="154">
        <v>2000000</v>
      </c>
      <c r="AN24" s="438">
        <v>0</v>
      </c>
      <c r="AO24" s="154">
        <v>2000000</v>
      </c>
      <c r="AP24" s="154"/>
      <c r="AQ24" s="154"/>
      <c r="AR24" s="154"/>
      <c r="AS24" s="154"/>
      <c r="AT24" s="154"/>
      <c r="AU24" s="154">
        <f t="shared" si="7"/>
        <v>2000000</v>
      </c>
      <c r="AV24" s="154"/>
      <c r="AW24" s="154"/>
      <c r="AX24" s="154"/>
      <c r="AY24" s="154"/>
      <c r="AZ24" s="154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</row>
    <row r="25" spans="1:68" s="5" customFormat="1" ht="31.95" customHeight="1">
      <c r="A25" s="153">
        <f t="shared" si="8"/>
        <v>21</v>
      </c>
      <c r="B25" s="3">
        <v>1670</v>
      </c>
      <c r="C25" s="3" t="s">
        <v>95</v>
      </c>
      <c r="D25" s="4">
        <v>17800000</v>
      </c>
      <c r="E25" s="4">
        <v>17800000</v>
      </c>
      <c r="F25" s="4">
        <f t="shared" si="0"/>
        <v>0</v>
      </c>
      <c r="G25" s="4">
        <v>1550000</v>
      </c>
      <c r="H25" s="4">
        <v>211785</v>
      </c>
      <c r="I25" s="4">
        <v>590150</v>
      </c>
      <c r="J25" s="4">
        <v>145182</v>
      </c>
      <c r="K25" s="4">
        <f>SUM(I25:J25)</f>
        <v>735332</v>
      </c>
      <c r="L25" s="4">
        <f>H25+K25</f>
        <v>947117</v>
      </c>
      <c r="M25" s="154">
        <f t="shared" si="4"/>
        <v>602883</v>
      </c>
      <c r="N25" s="154">
        <f>16250000-6250000-4000000-1000000-1500000-500000-1000000-1000000</f>
        <v>1000000</v>
      </c>
      <c r="O25" s="4">
        <f t="shared" si="5"/>
        <v>15250000</v>
      </c>
      <c r="P25" s="4">
        <f t="shared" si="2"/>
        <v>602883</v>
      </c>
      <c r="Q25" s="4"/>
      <c r="R25" s="4"/>
      <c r="S25" s="4">
        <f>SUM(Q25:R25)</f>
        <v>0</v>
      </c>
      <c r="T25" s="4">
        <v>0</v>
      </c>
      <c r="U25" s="4">
        <v>1000000</v>
      </c>
      <c r="V25" s="4">
        <v>1000000</v>
      </c>
      <c r="W25" s="4"/>
      <c r="X25" s="4"/>
      <c r="Y25" s="4"/>
      <c r="Z25" s="4"/>
      <c r="AA25" s="3"/>
      <c r="AB25" s="3" t="s">
        <v>555</v>
      </c>
      <c r="AC25" s="3">
        <v>742000</v>
      </c>
      <c r="AD25" s="154"/>
      <c r="AE25" s="154"/>
      <c r="AF25" s="154"/>
      <c r="AG25" s="154">
        <v>300000</v>
      </c>
      <c r="AH25" s="154"/>
      <c r="AI25" s="154"/>
      <c r="AJ25" s="154"/>
      <c r="AK25" s="154"/>
      <c r="AL25" s="438">
        <v>700000</v>
      </c>
      <c r="AM25" s="154">
        <v>1000000</v>
      </c>
      <c r="AN25" s="438">
        <v>0</v>
      </c>
      <c r="AO25" s="154">
        <v>1000000</v>
      </c>
      <c r="AP25" s="154"/>
      <c r="AQ25" s="154"/>
      <c r="AR25" s="154"/>
      <c r="AS25" s="154"/>
      <c r="AT25" s="154"/>
      <c r="AU25" s="154">
        <f t="shared" si="7"/>
        <v>700000</v>
      </c>
      <c r="AV25" s="154"/>
      <c r="AW25" s="154"/>
      <c r="AX25" s="154"/>
      <c r="AY25" s="154"/>
      <c r="AZ25" s="154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</row>
    <row r="26" spans="1:68" s="5" customFormat="1" ht="31.95" customHeight="1">
      <c r="A26" s="153">
        <f t="shared" si="8"/>
        <v>22</v>
      </c>
      <c r="B26" s="3">
        <v>1693</v>
      </c>
      <c r="C26" s="3" t="s">
        <v>106</v>
      </c>
      <c r="D26" s="4">
        <v>4500000</v>
      </c>
      <c r="E26" s="4">
        <v>4500000</v>
      </c>
      <c r="F26" s="4">
        <f t="shared" si="0"/>
        <v>0</v>
      </c>
      <c r="G26" s="4">
        <v>2235481</v>
      </c>
      <c r="H26" s="4">
        <v>312539</v>
      </c>
      <c r="I26" s="4">
        <v>567525</v>
      </c>
      <c r="J26" s="4">
        <v>321876</v>
      </c>
      <c r="K26" s="4">
        <f>SUM(I26:J26)</f>
        <v>889401</v>
      </c>
      <c r="L26" s="4">
        <f>H26+K26</f>
        <v>1201940</v>
      </c>
      <c r="M26" s="4">
        <f t="shared" si="4"/>
        <v>1033541</v>
      </c>
      <c r="N26" s="4">
        <v>181222</v>
      </c>
      <c r="O26" s="4">
        <f t="shared" si="5"/>
        <v>2083297</v>
      </c>
      <c r="P26" s="4">
        <f t="shared" si="2"/>
        <v>1033541</v>
      </c>
      <c r="Q26" s="4"/>
      <c r="R26" s="4"/>
      <c r="S26" s="4">
        <f>SUM(Q26:R26)</f>
        <v>0</v>
      </c>
      <c r="T26" s="4">
        <v>0</v>
      </c>
      <c r="U26" s="4">
        <v>181222</v>
      </c>
      <c r="V26" s="4">
        <v>0</v>
      </c>
      <c r="W26" s="4"/>
      <c r="X26" s="4"/>
      <c r="Y26" s="4"/>
      <c r="Z26" s="4"/>
      <c r="AA26" s="4">
        <v>181222</v>
      </c>
      <c r="AB26" s="3" t="s">
        <v>1494</v>
      </c>
      <c r="AC26" s="3">
        <v>732000</v>
      </c>
      <c r="AD26" s="154"/>
      <c r="AE26" s="154"/>
      <c r="AF26" s="154"/>
      <c r="AG26" s="154"/>
      <c r="AH26" s="154"/>
      <c r="AI26" s="154"/>
      <c r="AJ26" s="154"/>
      <c r="AK26" s="154">
        <v>181222</v>
      </c>
      <c r="AL26" s="438"/>
      <c r="AM26" s="154">
        <v>181222</v>
      </c>
      <c r="AN26" s="154">
        <v>0</v>
      </c>
      <c r="AO26" s="154">
        <v>0</v>
      </c>
      <c r="AP26" s="154"/>
      <c r="AQ26" s="154"/>
      <c r="AR26" s="154"/>
      <c r="AS26" s="154"/>
      <c r="AT26" s="154">
        <v>181222</v>
      </c>
      <c r="AU26" s="154">
        <f t="shared" si="7"/>
        <v>0</v>
      </c>
      <c r="AV26" s="154"/>
      <c r="AW26" s="154"/>
      <c r="AX26" s="154"/>
      <c r="AY26" s="154"/>
      <c r="AZ26" s="154">
        <f>AQ26</f>
        <v>0</v>
      </c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</row>
    <row r="27" spans="1:68" s="157" customFormat="1" ht="31.95" customHeight="1">
      <c r="A27" s="153">
        <f t="shared" si="8"/>
        <v>23</v>
      </c>
      <c r="B27" s="153">
        <v>1723</v>
      </c>
      <c r="C27" s="153" t="s">
        <v>28</v>
      </c>
      <c r="D27" s="154">
        <f>2442857-64336</f>
        <v>2378521</v>
      </c>
      <c r="E27" s="154">
        <v>2442857</v>
      </c>
      <c r="F27" s="154">
        <f t="shared" si="0"/>
        <v>-64336</v>
      </c>
      <c r="G27" s="154">
        <v>2442857</v>
      </c>
      <c r="H27" s="154">
        <v>1578260</v>
      </c>
      <c r="I27" s="154">
        <v>0</v>
      </c>
      <c r="J27" s="154">
        <v>94054</v>
      </c>
      <c r="K27" s="154">
        <f t="shared" si="3"/>
        <v>94054</v>
      </c>
      <c r="L27" s="154">
        <f t="shared" si="1"/>
        <v>1672314</v>
      </c>
      <c r="M27" s="154">
        <f>P27+S27-64336</f>
        <v>706207</v>
      </c>
      <c r="N27" s="154"/>
      <c r="O27" s="154">
        <f t="shared" si="5"/>
        <v>0</v>
      </c>
      <c r="P27" s="154">
        <f t="shared" si="2"/>
        <v>770543</v>
      </c>
      <c r="Q27" s="154"/>
      <c r="R27" s="154"/>
      <c r="S27" s="154">
        <f t="shared" si="10"/>
        <v>0</v>
      </c>
      <c r="T27" s="154">
        <v>64336</v>
      </c>
      <c r="U27" s="154">
        <v>-64336</v>
      </c>
      <c r="V27" s="154">
        <v>0</v>
      </c>
      <c r="W27" s="154"/>
      <c r="X27" s="154"/>
      <c r="Y27" s="154"/>
      <c r="Z27" s="154"/>
      <c r="AA27" s="4">
        <v>-64336</v>
      </c>
      <c r="AB27" s="153" t="s">
        <v>1495</v>
      </c>
      <c r="AC27" s="153">
        <v>732000</v>
      </c>
      <c r="AD27" s="154"/>
      <c r="AE27" s="154"/>
      <c r="AF27" s="154"/>
      <c r="AG27" s="154">
        <v>-64336</v>
      </c>
      <c r="AH27" s="154"/>
      <c r="AI27" s="154"/>
      <c r="AJ27" s="154"/>
      <c r="AK27" s="154"/>
      <c r="AL27" s="438"/>
      <c r="AM27" s="154">
        <v>-64336</v>
      </c>
      <c r="AN27" s="154">
        <v>0</v>
      </c>
      <c r="AO27" s="154">
        <v>0</v>
      </c>
      <c r="AP27" s="154"/>
      <c r="AQ27" s="154"/>
      <c r="AR27" s="154"/>
      <c r="AS27" s="154"/>
      <c r="AT27" s="154">
        <v>-64336</v>
      </c>
      <c r="AU27" s="154">
        <f t="shared" si="7"/>
        <v>0</v>
      </c>
      <c r="AV27" s="154"/>
      <c r="AW27" s="154"/>
      <c r="AX27" s="154"/>
      <c r="AY27" s="154"/>
      <c r="AZ27" s="154">
        <f>AQ27</f>
        <v>0</v>
      </c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</row>
    <row r="28" spans="1:68" s="5" customFormat="1" ht="31.95" customHeight="1">
      <c r="A28" s="153">
        <f t="shared" si="8"/>
        <v>24</v>
      </c>
      <c r="B28" s="3">
        <v>1773</v>
      </c>
      <c r="C28" s="3" t="s">
        <v>96</v>
      </c>
      <c r="D28" s="4">
        <v>1500000</v>
      </c>
      <c r="E28" s="4">
        <v>1500000</v>
      </c>
      <c r="F28" s="4">
        <f t="shared" si="0"/>
        <v>0</v>
      </c>
      <c r="G28" s="4">
        <v>1500000</v>
      </c>
      <c r="H28" s="4">
        <v>212004</v>
      </c>
      <c r="I28" s="4">
        <v>17401</v>
      </c>
      <c r="J28" s="4">
        <v>0</v>
      </c>
      <c r="K28" s="4">
        <f>SUM(I28:J28)</f>
        <v>17401</v>
      </c>
      <c r="L28" s="4">
        <f t="shared" si="1"/>
        <v>229405</v>
      </c>
      <c r="M28" s="154">
        <f t="shared" si="4"/>
        <v>1270595</v>
      </c>
      <c r="N28" s="154"/>
      <c r="O28" s="4">
        <f t="shared" si="5"/>
        <v>0</v>
      </c>
      <c r="P28" s="4">
        <f t="shared" si="2"/>
        <v>1270595</v>
      </c>
      <c r="Q28" s="4"/>
      <c r="R28" s="4"/>
      <c r="S28" s="4">
        <f>SUM(Q28:R28)</f>
        <v>0</v>
      </c>
      <c r="T28" s="4">
        <v>0</v>
      </c>
      <c r="U28" s="4">
        <v>0</v>
      </c>
      <c r="V28" s="4"/>
      <c r="W28" s="4">
        <v>0</v>
      </c>
      <c r="X28" s="4"/>
      <c r="Y28" s="4"/>
      <c r="Z28" s="4"/>
      <c r="AA28" s="3"/>
      <c r="AB28" s="3" t="s">
        <v>287</v>
      </c>
      <c r="AC28" s="3">
        <v>746000</v>
      </c>
      <c r="AD28" s="154"/>
      <c r="AE28" s="154"/>
      <c r="AF28" s="154"/>
      <c r="AG28" s="154"/>
      <c r="AH28" s="154"/>
      <c r="AI28" s="154"/>
      <c r="AJ28" s="154"/>
      <c r="AK28" s="154"/>
      <c r="AL28" s="438"/>
      <c r="AM28" s="154">
        <v>0</v>
      </c>
      <c r="AN28" s="154">
        <v>0</v>
      </c>
      <c r="AO28" s="154">
        <v>0</v>
      </c>
      <c r="AP28" s="154"/>
      <c r="AQ28" s="154"/>
      <c r="AR28" s="154"/>
      <c r="AS28" s="154"/>
      <c r="AT28" s="154"/>
      <c r="AU28" s="154">
        <f t="shared" si="7"/>
        <v>0</v>
      </c>
      <c r="AV28" s="154"/>
      <c r="AW28" s="154"/>
      <c r="AX28" s="154"/>
      <c r="AY28" s="154"/>
      <c r="AZ28" s="154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</row>
    <row r="29" spans="1:68" ht="31.95" customHeight="1">
      <c r="A29" s="153">
        <f t="shared" si="8"/>
        <v>25</v>
      </c>
      <c r="B29" s="241">
        <v>1819</v>
      </c>
      <c r="C29" s="153" t="s">
        <v>395</v>
      </c>
      <c r="D29" s="154">
        <v>18000000</v>
      </c>
      <c r="E29" s="154">
        <v>18000000</v>
      </c>
      <c r="F29" s="154">
        <f t="shared" si="0"/>
        <v>0</v>
      </c>
      <c r="G29" s="154">
        <v>16000000</v>
      </c>
      <c r="H29" s="154">
        <v>7600833</v>
      </c>
      <c r="I29" s="154">
        <v>0</v>
      </c>
      <c r="J29" s="154">
        <v>950121</v>
      </c>
      <c r="K29" s="154">
        <f t="shared" si="3"/>
        <v>950121</v>
      </c>
      <c r="L29" s="154">
        <f t="shared" si="1"/>
        <v>8550954</v>
      </c>
      <c r="M29" s="154">
        <f t="shared" si="4"/>
        <v>9449046</v>
      </c>
      <c r="N29" s="154"/>
      <c r="O29" s="154">
        <f t="shared" si="5"/>
        <v>0</v>
      </c>
      <c r="P29" s="154">
        <f t="shared" si="2"/>
        <v>7449046</v>
      </c>
      <c r="Q29" s="154">
        <v>2000000</v>
      </c>
      <c r="R29" s="154"/>
      <c r="S29" s="154">
        <f t="shared" si="10"/>
        <v>2000000</v>
      </c>
      <c r="T29" s="154">
        <v>0</v>
      </c>
      <c r="U29" s="154">
        <v>0</v>
      </c>
      <c r="V29" s="154">
        <v>0</v>
      </c>
      <c r="W29" s="154"/>
      <c r="X29" s="154"/>
      <c r="Y29" s="154"/>
      <c r="Z29" s="154"/>
      <c r="AA29" s="153"/>
      <c r="AB29" s="153" t="s">
        <v>534</v>
      </c>
      <c r="AC29" s="153">
        <v>742000</v>
      </c>
      <c r="AD29" s="154"/>
      <c r="AE29" s="154"/>
      <c r="AF29" s="154"/>
      <c r="AG29" s="154"/>
      <c r="AH29" s="154"/>
      <c r="AI29" s="154"/>
      <c r="AJ29" s="154"/>
      <c r="AK29" s="154"/>
      <c r="AL29" s="438"/>
      <c r="AM29" s="154">
        <v>0</v>
      </c>
      <c r="AN29" s="154">
        <v>0</v>
      </c>
      <c r="AO29" s="154">
        <v>0</v>
      </c>
      <c r="AP29" s="154"/>
      <c r="AQ29" s="154"/>
      <c r="AR29" s="154"/>
      <c r="AS29" s="154"/>
      <c r="AT29" s="154"/>
      <c r="AU29" s="154">
        <f t="shared" si="7"/>
        <v>0</v>
      </c>
      <c r="AV29" s="154"/>
      <c r="AW29" s="154"/>
      <c r="AX29" s="154"/>
      <c r="AY29" s="154"/>
      <c r="AZ29" s="154"/>
    </row>
    <row r="30" spans="1:68" ht="31.95" customHeight="1">
      <c r="A30" s="153">
        <f t="shared" si="8"/>
        <v>26</v>
      </c>
      <c r="B30" s="241">
        <v>1833</v>
      </c>
      <c r="C30" s="153" t="s">
        <v>108</v>
      </c>
      <c r="D30" s="154">
        <v>29000000</v>
      </c>
      <c r="E30" s="154">
        <v>29000000</v>
      </c>
      <c r="F30" s="154">
        <f t="shared" si="0"/>
        <v>0</v>
      </c>
      <c r="G30" s="154">
        <f>23500000+3000000</f>
        <v>26500000</v>
      </c>
      <c r="H30" s="154">
        <v>21214144</v>
      </c>
      <c r="I30" s="154">
        <v>0</v>
      </c>
      <c r="J30" s="154">
        <v>52508</v>
      </c>
      <c r="K30" s="154">
        <f t="shared" si="3"/>
        <v>52508</v>
      </c>
      <c r="L30" s="154">
        <f t="shared" si="1"/>
        <v>21266652</v>
      </c>
      <c r="M30" s="154">
        <f t="shared" si="4"/>
        <v>7733348</v>
      </c>
      <c r="N30" s="154"/>
      <c r="O30" s="154">
        <f t="shared" si="5"/>
        <v>0</v>
      </c>
      <c r="P30" s="154">
        <f t="shared" si="2"/>
        <v>5233348</v>
      </c>
      <c r="Q30" s="154">
        <f>5500000-3000000</f>
        <v>2500000</v>
      </c>
      <c r="R30" s="154"/>
      <c r="S30" s="154">
        <f t="shared" si="10"/>
        <v>2500000</v>
      </c>
      <c r="T30" s="154">
        <v>0</v>
      </c>
      <c r="U30" s="154">
        <v>0</v>
      </c>
      <c r="V30" s="154">
        <v>0</v>
      </c>
      <c r="W30" s="154"/>
      <c r="X30" s="154"/>
      <c r="Y30" s="154"/>
      <c r="Z30" s="154"/>
      <c r="AA30" s="154">
        <v>0</v>
      </c>
      <c r="AB30" s="153" t="s">
        <v>619</v>
      </c>
      <c r="AC30" s="153">
        <v>829000</v>
      </c>
      <c r="AD30" s="154"/>
      <c r="AE30" s="154"/>
      <c r="AF30" s="154"/>
      <c r="AG30" s="154"/>
      <c r="AH30" s="154"/>
      <c r="AI30" s="154"/>
      <c r="AJ30" s="154"/>
      <c r="AK30" s="154"/>
      <c r="AL30" s="438"/>
      <c r="AM30" s="154">
        <v>0</v>
      </c>
      <c r="AN30" s="154">
        <v>0</v>
      </c>
      <c r="AO30" s="154">
        <v>0</v>
      </c>
      <c r="AP30" s="154"/>
      <c r="AQ30" s="154"/>
      <c r="AR30" s="154"/>
      <c r="AS30" s="154"/>
      <c r="AT30" s="154"/>
      <c r="AU30" s="154">
        <f t="shared" si="7"/>
        <v>0</v>
      </c>
      <c r="AV30" s="154"/>
      <c r="AW30" s="154"/>
      <c r="AX30" s="154"/>
      <c r="AY30" s="154"/>
      <c r="AZ30" s="154"/>
    </row>
    <row r="31" spans="1:68" s="157" customFormat="1" ht="31.95" customHeight="1">
      <c r="A31" s="153">
        <f t="shared" si="8"/>
        <v>27</v>
      </c>
      <c r="B31" s="153">
        <v>1834</v>
      </c>
      <c r="C31" s="153" t="s">
        <v>102</v>
      </c>
      <c r="D31" s="154">
        <v>60000000</v>
      </c>
      <c r="E31" s="154">
        <v>60000000</v>
      </c>
      <c r="F31" s="154">
        <f t="shared" si="0"/>
        <v>0</v>
      </c>
      <c r="G31" s="154">
        <v>19462673</v>
      </c>
      <c r="H31" s="154">
        <v>12564840</v>
      </c>
      <c r="I31" s="154">
        <v>0</v>
      </c>
      <c r="J31" s="154">
        <v>2402402</v>
      </c>
      <c r="K31" s="154">
        <f t="shared" si="3"/>
        <v>2402402</v>
      </c>
      <c r="L31" s="154">
        <f t="shared" si="1"/>
        <v>14967242</v>
      </c>
      <c r="M31" s="154">
        <f t="shared" si="4"/>
        <v>29495431</v>
      </c>
      <c r="N31" s="154">
        <f>15537327-2500000</f>
        <v>13037327</v>
      </c>
      <c r="O31" s="154">
        <f t="shared" si="5"/>
        <v>2500000</v>
      </c>
      <c r="P31" s="154">
        <f t="shared" si="2"/>
        <v>4495431</v>
      </c>
      <c r="Q31" s="154">
        <v>25000000</v>
      </c>
      <c r="R31" s="154"/>
      <c r="S31" s="154">
        <f t="shared" si="10"/>
        <v>25000000</v>
      </c>
      <c r="T31" s="154">
        <v>0</v>
      </c>
      <c r="U31" s="154">
        <v>13037327</v>
      </c>
      <c r="V31" s="154">
        <v>13037327</v>
      </c>
      <c r="W31" s="154"/>
      <c r="X31" s="154"/>
      <c r="Y31" s="154"/>
      <c r="Z31" s="154"/>
      <c r="AA31" s="153"/>
      <c r="AB31" s="28" t="s">
        <v>535</v>
      </c>
      <c r="AC31" s="153">
        <v>824000</v>
      </c>
      <c r="AD31" s="154"/>
      <c r="AE31" s="154"/>
      <c r="AF31" s="154"/>
      <c r="AG31" s="154"/>
      <c r="AH31" s="154"/>
      <c r="AI31" s="154"/>
      <c r="AJ31" s="154">
        <v>3037327</v>
      </c>
      <c r="AK31" s="154">
        <v>2500000</v>
      </c>
      <c r="AL31" s="438">
        <v>7500000</v>
      </c>
      <c r="AM31" s="154">
        <v>13037327</v>
      </c>
      <c r="AN31" s="438">
        <v>0</v>
      </c>
      <c r="AO31" s="154">
        <v>13037327</v>
      </c>
      <c r="AP31" s="154"/>
      <c r="AQ31" s="154"/>
      <c r="AR31" s="154"/>
      <c r="AS31" s="154"/>
      <c r="AT31" s="154"/>
      <c r="AU31" s="154">
        <f t="shared" si="7"/>
        <v>7500000</v>
      </c>
      <c r="AV31" s="154"/>
      <c r="AW31" s="154"/>
      <c r="AX31" s="154"/>
      <c r="AY31" s="154"/>
      <c r="AZ31" s="154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</row>
    <row r="32" spans="1:68" s="157" customFormat="1" ht="31.95" customHeight="1">
      <c r="A32" s="153">
        <f t="shared" si="8"/>
        <v>28</v>
      </c>
      <c r="B32" s="153">
        <v>1835</v>
      </c>
      <c r="C32" s="153" t="s">
        <v>353</v>
      </c>
      <c r="D32" s="154">
        <f>70000000-18500000</f>
        <v>51500000</v>
      </c>
      <c r="E32" s="154">
        <v>70000000</v>
      </c>
      <c r="F32" s="154">
        <f t="shared" si="0"/>
        <v>-18500000</v>
      </c>
      <c r="G32" s="154">
        <v>20900000</v>
      </c>
      <c r="H32" s="154">
        <v>13162880</v>
      </c>
      <c r="I32" s="154">
        <v>0</v>
      </c>
      <c r="J32" s="154">
        <v>3301140</v>
      </c>
      <c r="K32" s="154">
        <f t="shared" si="3"/>
        <v>3301140</v>
      </c>
      <c r="L32" s="154">
        <f t="shared" si="1"/>
        <v>16464020</v>
      </c>
      <c r="M32" s="154">
        <f t="shared" si="4"/>
        <v>5435980</v>
      </c>
      <c r="N32" s="154">
        <f>48100000-34100000-13000000-500000</f>
        <v>500000</v>
      </c>
      <c r="O32" s="154">
        <f t="shared" si="5"/>
        <v>29100000</v>
      </c>
      <c r="P32" s="154">
        <f t="shared" si="2"/>
        <v>4435980</v>
      </c>
      <c r="Q32" s="154">
        <v>1000000</v>
      </c>
      <c r="R32" s="154"/>
      <c r="S32" s="154">
        <f t="shared" si="10"/>
        <v>1000000</v>
      </c>
      <c r="T32" s="154">
        <v>0</v>
      </c>
      <c r="U32" s="154">
        <v>500000</v>
      </c>
      <c r="V32" s="154">
        <v>500000</v>
      </c>
      <c r="W32" s="154"/>
      <c r="X32" s="154"/>
      <c r="Y32" s="154"/>
      <c r="Z32" s="154"/>
      <c r="AA32" s="153"/>
      <c r="AB32" s="3" t="s">
        <v>815</v>
      </c>
      <c r="AC32" s="153">
        <v>824000</v>
      </c>
      <c r="AD32" s="154"/>
      <c r="AE32" s="154"/>
      <c r="AF32" s="154"/>
      <c r="AG32" s="154"/>
      <c r="AH32" s="154"/>
      <c r="AI32" s="154"/>
      <c r="AJ32" s="154"/>
      <c r="AK32" s="154"/>
      <c r="AL32" s="438"/>
      <c r="AM32" s="154">
        <v>0</v>
      </c>
      <c r="AN32" s="154">
        <v>500000</v>
      </c>
      <c r="AO32" s="154">
        <v>0</v>
      </c>
      <c r="AP32" s="154"/>
      <c r="AQ32" s="154"/>
      <c r="AR32" s="154"/>
      <c r="AS32" s="154"/>
      <c r="AT32" s="154"/>
      <c r="AU32" s="154">
        <f t="shared" si="7"/>
        <v>0</v>
      </c>
      <c r="AV32" s="154"/>
      <c r="AW32" s="154"/>
      <c r="AX32" s="154"/>
      <c r="AY32" s="154"/>
      <c r="AZ32" s="154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</row>
    <row r="33" spans="1:68" ht="31.95" customHeight="1">
      <c r="A33" s="153">
        <f t="shared" si="8"/>
        <v>29</v>
      </c>
      <c r="B33" s="241">
        <v>1845</v>
      </c>
      <c r="C33" s="153" t="s">
        <v>109</v>
      </c>
      <c r="D33" s="154">
        <v>6000000</v>
      </c>
      <c r="E33" s="154">
        <v>6000000</v>
      </c>
      <c r="F33" s="154">
        <f t="shared" si="0"/>
        <v>0</v>
      </c>
      <c r="G33" s="154">
        <v>1240000</v>
      </c>
      <c r="H33" s="154">
        <v>792387</v>
      </c>
      <c r="I33" s="154">
        <v>0</v>
      </c>
      <c r="J33" s="154">
        <v>251192</v>
      </c>
      <c r="K33" s="154">
        <f t="shared" si="3"/>
        <v>251192</v>
      </c>
      <c r="L33" s="154">
        <f t="shared" si="1"/>
        <v>1043579</v>
      </c>
      <c r="M33" s="154">
        <f t="shared" si="4"/>
        <v>696421</v>
      </c>
      <c r="N33" s="154">
        <f>2000000-1000000-300000</f>
        <v>700000</v>
      </c>
      <c r="O33" s="154">
        <f t="shared" si="5"/>
        <v>3560000</v>
      </c>
      <c r="P33" s="154">
        <f t="shared" si="2"/>
        <v>196421</v>
      </c>
      <c r="Q33" s="154">
        <v>500000</v>
      </c>
      <c r="R33" s="154"/>
      <c r="S33" s="154">
        <f t="shared" si="10"/>
        <v>500000</v>
      </c>
      <c r="T33" s="154">
        <v>0</v>
      </c>
      <c r="U33" s="154">
        <v>700000</v>
      </c>
      <c r="V33" s="154">
        <v>700000</v>
      </c>
      <c r="W33" s="154"/>
      <c r="X33" s="154"/>
      <c r="Y33" s="154"/>
      <c r="Z33" s="154"/>
      <c r="AA33" s="153"/>
      <c r="AB33" s="153" t="s">
        <v>620</v>
      </c>
      <c r="AC33" s="153">
        <v>742000</v>
      </c>
      <c r="AD33" s="154"/>
      <c r="AE33" s="154"/>
      <c r="AF33" s="154"/>
      <c r="AG33" s="154"/>
      <c r="AH33" s="154"/>
      <c r="AI33" s="154">
        <v>50000</v>
      </c>
      <c r="AJ33" s="154">
        <v>150000</v>
      </c>
      <c r="AK33" s="154"/>
      <c r="AL33" s="438">
        <v>500000</v>
      </c>
      <c r="AM33" s="154">
        <v>700000</v>
      </c>
      <c r="AN33" s="438">
        <v>0</v>
      </c>
      <c r="AO33" s="154">
        <v>700000</v>
      </c>
      <c r="AP33" s="154"/>
      <c r="AQ33" s="154"/>
      <c r="AR33" s="154"/>
      <c r="AS33" s="154"/>
      <c r="AT33" s="154"/>
      <c r="AU33" s="154">
        <f t="shared" si="7"/>
        <v>500000</v>
      </c>
      <c r="AV33" s="154"/>
      <c r="AW33" s="154"/>
      <c r="AX33" s="154"/>
      <c r="AY33" s="154"/>
      <c r="AZ33" s="154"/>
    </row>
    <row r="34" spans="1:68" s="5" customFormat="1" ht="31.95" customHeight="1">
      <c r="A34" s="153">
        <f t="shared" si="8"/>
        <v>30</v>
      </c>
      <c r="B34" s="28">
        <v>1882</v>
      </c>
      <c r="C34" s="28" t="s">
        <v>1212</v>
      </c>
      <c r="D34" s="4">
        <v>14300000</v>
      </c>
      <c r="E34" s="297">
        <v>14300000</v>
      </c>
      <c r="F34" s="4">
        <f t="shared" si="0"/>
        <v>0</v>
      </c>
      <c r="G34" s="297">
        <v>200000</v>
      </c>
      <c r="H34" s="297">
        <v>0</v>
      </c>
      <c r="I34" s="297">
        <v>0</v>
      </c>
      <c r="J34" s="297">
        <v>0</v>
      </c>
      <c r="K34" s="4">
        <f>SUM(I34:J34)</f>
        <v>0</v>
      </c>
      <c r="L34" s="4">
        <f>H34+K34</f>
        <v>0</v>
      </c>
      <c r="M34" s="154">
        <f t="shared" si="4"/>
        <v>200000</v>
      </c>
      <c r="N34" s="154">
        <f>500000-500000</f>
        <v>0</v>
      </c>
      <c r="O34" s="4">
        <f t="shared" si="5"/>
        <v>14100000</v>
      </c>
      <c r="P34" s="4">
        <f t="shared" si="2"/>
        <v>200000</v>
      </c>
      <c r="Q34" s="4"/>
      <c r="R34" s="4"/>
      <c r="S34" s="4">
        <f>SUM(Q34:R34)</f>
        <v>0</v>
      </c>
      <c r="T34" s="4">
        <v>0</v>
      </c>
      <c r="U34" s="4">
        <v>0</v>
      </c>
      <c r="V34" s="4">
        <v>0</v>
      </c>
      <c r="W34" s="297"/>
      <c r="X34" s="297"/>
      <c r="Y34" s="297"/>
      <c r="Z34" s="297"/>
      <c r="AA34" s="28"/>
      <c r="AB34" s="28" t="s">
        <v>1496</v>
      </c>
      <c r="AC34" s="28">
        <v>742000</v>
      </c>
      <c r="AD34" s="154"/>
      <c r="AE34" s="154"/>
      <c r="AF34" s="154"/>
      <c r="AG34" s="154"/>
      <c r="AH34" s="154"/>
      <c r="AI34" s="154"/>
      <c r="AJ34" s="154"/>
      <c r="AK34" s="154"/>
      <c r="AL34" s="438"/>
      <c r="AM34" s="154">
        <v>0</v>
      </c>
      <c r="AN34" s="154">
        <v>0</v>
      </c>
      <c r="AO34" s="154">
        <v>0</v>
      </c>
      <c r="AP34" s="154"/>
      <c r="AQ34" s="154"/>
      <c r="AR34" s="154"/>
      <c r="AS34" s="154"/>
      <c r="AT34" s="154"/>
      <c r="AU34" s="154">
        <f t="shared" si="7"/>
        <v>0</v>
      </c>
      <c r="AV34" s="154"/>
      <c r="AW34" s="154"/>
      <c r="AX34" s="154"/>
      <c r="AY34" s="154"/>
      <c r="AZ34" s="154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</row>
    <row r="35" spans="1:68" ht="31.95" customHeight="1">
      <c r="A35" s="153">
        <f t="shared" si="8"/>
        <v>31</v>
      </c>
      <c r="B35" s="241">
        <v>1896</v>
      </c>
      <c r="C35" s="153" t="s">
        <v>354</v>
      </c>
      <c r="D35" s="154">
        <f>18560000-10760000</f>
        <v>7800000</v>
      </c>
      <c r="E35" s="154">
        <v>18560000</v>
      </c>
      <c r="F35" s="154">
        <f t="shared" si="0"/>
        <v>-10760000</v>
      </c>
      <c r="G35" s="154">
        <v>7800000</v>
      </c>
      <c r="H35" s="154">
        <v>1264688</v>
      </c>
      <c r="I35" s="154">
        <v>1828643</v>
      </c>
      <c r="J35" s="154">
        <v>133740</v>
      </c>
      <c r="K35" s="154">
        <f t="shared" si="3"/>
        <v>1962383</v>
      </c>
      <c r="L35" s="154">
        <f t="shared" si="1"/>
        <v>3227071</v>
      </c>
      <c r="M35" s="154">
        <f t="shared" si="4"/>
        <v>4572929</v>
      </c>
      <c r="N35" s="154"/>
      <c r="O35" s="154">
        <f t="shared" si="5"/>
        <v>0</v>
      </c>
      <c r="P35" s="154">
        <f t="shared" si="2"/>
        <v>4572929</v>
      </c>
      <c r="Q35" s="154"/>
      <c r="R35" s="154"/>
      <c r="S35" s="154">
        <f t="shared" si="10"/>
        <v>0</v>
      </c>
      <c r="T35" s="154">
        <v>0</v>
      </c>
      <c r="U35" s="154">
        <v>0</v>
      </c>
      <c r="V35" s="154">
        <v>0</v>
      </c>
      <c r="W35" s="154"/>
      <c r="X35" s="154"/>
      <c r="Y35" s="154"/>
      <c r="Z35" s="154"/>
      <c r="AA35" s="153"/>
      <c r="AB35" s="153" t="s">
        <v>987</v>
      </c>
      <c r="AC35" s="153">
        <v>829000</v>
      </c>
      <c r="AD35" s="154"/>
      <c r="AE35" s="154"/>
      <c r="AF35" s="154"/>
      <c r="AG35" s="154"/>
      <c r="AH35" s="154"/>
      <c r="AI35" s="154"/>
      <c r="AJ35" s="154"/>
      <c r="AK35" s="154"/>
      <c r="AL35" s="438"/>
      <c r="AM35" s="154">
        <v>0</v>
      </c>
      <c r="AN35" s="154">
        <v>0</v>
      </c>
      <c r="AO35" s="154">
        <v>0</v>
      </c>
      <c r="AP35" s="154"/>
      <c r="AQ35" s="154"/>
      <c r="AR35" s="154"/>
      <c r="AS35" s="154"/>
      <c r="AT35" s="154"/>
      <c r="AU35" s="154">
        <f t="shared" si="7"/>
        <v>0</v>
      </c>
      <c r="AV35" s="154"/>
      <c r="AW35" s="154"/>
      <c r="AX35" s="154"/>
      <c r="AY35" s="154"/>
      <c r="AZ35" s="154"/>
    </row>
    <row r="36" spans="1:68" s="157" customFormat="1" ht="31.95" customHeight="1">
      <c r="A36" s="153">
        <f t="shared" si="8"/>
        <v>32</v>
      </c>
      <c r="B36" s="153">
        <v>1904</v>
      </c>
      <c r="C36" s="153" t="s">
        <v>988</v>
      </c>
      <c r="D36" s="154">
        <f>5700000-900000-300000</f>
        <v>4500000</v>
      </c>
      <c r="E36" s="154">
        <v>5700000</v>
      </c>
      <c r="F36" s="154">
        <f t="shared" si="0"/>
        <v>-1200000</v>
      </c>
      <c r="G36" s="154">
        <v>4800000</v>
      </c>
      <c r="H36" s="154">
        <v>4325712</v>
      </c>
      <c r="I36" s="154">
        <v>0</v>
      </c>
      <c r="J36" s="154">
        <v>88853</v>
      </c>
      <c r="K36" s="154">
        <f t="shared" si="3"/>
        <v>88853</v>
      </c>
      <c r="L36" s="154">
        <f t="shared" si="1"/>
        <v>4414565</v>
      </c>
      <c r="M36" s="154">
        <f>P36+S36-300000</f>
        <v>85435</v>
      </c>
      <c r="N36" s="154"/>
      <c r="O36" s="154">
        <f t="shared" si="5"/>
        <v>0</v>
      </c>
      <c r="P36" s="154">
        <f t="shared" si="2"/>
        <v>385435</v>
      </c>
      <c r="Q36" s="154"/>
      <c r="R36" s="154"/>
      <c r="S36" s="154">
        <f t="shared" si="10"/>
        <v>0</v>
      </c>
      <c r="T36" s="154">
        <v>300000</v>
      </c>
      <c r="U36" s="154">
        <v>-300000</v>
      </c>
      <c r="V36" s="154">
        <v>-300000</v>
      </c>
      <c r="W36" s="154"/>
      <c r="X36" s="154"/>
      <c r="Y36" s="154"/>
      <c r="Z36" s="154"/>
      <c r="AA36" s="153"/>
      <c r="AB36" s="153" t="s">
        <v>989</v>
      </c>
      <c r="AC36" s="153">
        <v>742000</v>
      </c>
      <c r="AD36" s="154"/>
      <c r="AE36" s="154"/>
      <c r="AF36" s="154">
        <v>-300000</v>
      </c>
      <c r="AG36" s="154"/>
      <c r="AH36" s="154"/>
      <c r="AI36" s="154"/>
      <c r="AJ36" s="154"/>
      <c r="AK36" s="154"/>
      <c r="AL36" s="438"/>
      <c r="AM36" s="154">
        <v>-300000</v>
      </c>
      <c r="AN36" s="154">
        <v>0</v>
      </c>
      <c r="AO36" s="154">
        <v>-300000</v>
      </c>
      <c r="AP36" s="154"/>
      <c r="AQ36" s="154"/>
      <c r="AR36" s="154"/>
      <c r="AS36" s="154"/>
      <c r="AT36" s="154"/>
      <c r="AU36" s="154">
        <f t="shared" si="7"/>
        <v>0</v>
      </c>
      <c r="AV36" s="154"/>
      <c r="AW36" s="154"/>
      <c r="AX36" s="154"/>
      <c r="AY36" s="154"/>
      <c r="AZ36" s="154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</row>
    <row r="37" spans="1:68" ht="31.95" customHeight="1">
      <c r="A37" s="153">
        <f t="shared" si="8"/>
        <v>33</v>
      </c>
      <c r="B37" s="241">
        <v>1921</v>
      </c>
      <c r="C37" s="153" t="s">
        <v>111</v>
      </c>
      <c r="D37" s="154">
        <v>9716000</v>
      </c>
      <c r="E37" s="154">
        <v>9716000</v>
      </c>
      <c r="F37" s="154">
        <f t="shared" si="0"/>
        <v>0</v>
      </c>
      <c r="G37" s="154">
        <v>9716000</v>
      </c>
      <c r="H37" s="154">
        <v>8784692</v>
      </c>
      <c r="I37" s="154">
        <v>0</v>
      </c>
      <c r="J37" s="154">
        <v>530373</v>
      </c>
      <c r="K37" s="154">
        <f t="shared" si="3"/>
        <v>530373</v>
      </c>
      <c r="L37" s="154">
        <f t="shared" si="1"/>
        <v>9315065</v>
      </c>
      <c r="M37" s="154">
        <f t="shared" si="4"/>
        <v>400935</v>
      </c>
      <c r="N37" s="154"/>
      <c r="O37" s="154">
        <f t="shared" si="5"/>
        <v>0</v>
      </c>
      <c r="P37" s="154">
        <f t="shared" si="2"/>
        <v>400935</v>
      </c>
      <c r="Q37" s="154"/>
      <c r="R37" s="154"/>
      <c r="S37" s="154">
        <f t="shared" si="10"/>
        <v>0</v>
      </c>
      <c r="T37" s="154">
        <v>0</v>
      </c>
      <c r="U37" s="154">
        <v>0</v>
      </c>
      <c r="V37" s="154">
        <v>0</v>
      </c>
      <c r="W37" s="154"/>
      <c r="X37" s="154"/>
      <c r="Y37" s="154"/>
      <c r="Z37" s="154"/>
      <c r="AA37" s="153"/>
      <c r="AB37" s="153" t="s">
        <v>587</v>
      </c>
      <c r="AC37" s="153">
        <v>829000</v>
      </c>
      <c r="AD37" s="154"/>
      <c r="AE37" s="154"/>
      <c r="AF37" s="154"/>
      <c r="AG37" s="154"/>
      <c r="AH37" s="154"/>
      <c r="AI37" s="154"/>
      <c r="AJ37" s="154"/>
      <c r="AK37" s="154"/>
      <c r="AL37" s="438"/>
      <c r="AM37" s="154">
        <v>0</v>
      </c>
      <c r="AN37" s="154">
        <v>0</v>
      </c>
      <c r="AO37" s="154">
        <v>0</v>
      </c>
      <c r="AP37" s="154"/>
      <c r="AQ37" s="154"/>
      <c r="AR37" s="154"/>
      <c r="AS37" s="154"/>
      <c r="AT37" s="154"/>
      <c r="AU37" s="154">
        <f t="shared" si="7"/>
        <v>0</v>
      </c>
      <c r="AV37" s="154"/>
      <c r="AW37" s="154"/>
      <c r="AX37" s="154"/>
      <c r="AY37" s="154"/>
      <c r="AZ37" s="154"/>
    </row>
    <row r="38" spans="1:68" ht="31.95" customHeight="1">
      <c r="A38" s="153">
        <f t="shared" si="8"/>
        <v>34</v>
      </c>
      <c r="B38" s="241">
        <v>1953</v>
      </c>
      <c r="C38" s="153" t="s">
        <v>355</v>
      </c>
      <c r="D38" s="154">
        <f>5300000+5000000-5000000</f>
        <v>5300000</v>
      </c>
      <c r="E38" s="154">
        <v>5300000</v>
      </c>
      <c r="F38" s="154">
        <f t="shared" si="0"/>
        <v>0</v>
      </c>
      <c r="G38" s="154">
        <v>5300000</v>
      </c>
      <c r="H38" s="154">
        <v>4859191</v>
      </c>
      <c r="I38" s="154">
        <v>0</v>
      </c>
      <c r="J38" s="154">
        <v>106604</v>
      </c>
      <c r="K38" s="154">
        <f t="shared" si="3"/>
        <v>106604</v>
      </c>
      <c r="L38" s="154">
        <f t="shared" si="1"/>
        <v>4965795</v>
      </c>
      <c r="M38" s="154">
        <f t="shared" si="4"/>
        <v>334205</v>
      </c>
      <c r="N38" s="154">
        <f>5000000-5000000</f>
        <v>0</v>
      </c>
      <c r="O38" s="154">
        <f t="shared" si="5"/>
        <v>0</v>
      </c>
      <c r="P38" s="154">
        <f t="shared" si="2"/>
        <v>334205</v>
      </c>
      <c r="Q38" s="154"/>
      <c r="R38" s="154"/>
      <c r="S38" s="154">
        <f t="shared" si="10"/>
        <v>0</v>
      </c>
      <c r="T38" s="154">
        <v>0</v>
      </c>
      <c r="U38" s="154">
        <v>0</v>
      </c>
      <c r="V38" s="154">
        <v>0</v>
      </c>
      <c r="W38" s="154"/>
      <c r="X38" s="154"/>
      <c r="Y38" s="154"/>
      <c r="Z38" s="154"/>
      <c r="AA38" s="153"/>
      <c r="AB38" s="259" t="s">
        <v>386</v>
      </c>
      <c r="AC38" s="153">
        <v>742000</v>
      </c>
      <c r="AD38" s="154"/>
      <c r="AE38" s="154"/>
      <c r="AF38" s="154"/>
      <c r="AG38" s="154"/>
      <c r="AH38" s="154"/>
      <c r="AI38" s="154"/>
      <c r="AJ38" s="154"/>
      <c r="AK38" s="154"/>
      <c r="AL38" s="438"/>
      <c r="AM38" s="154">
        <v>0</v>
      </c>
      <c r="AN38" s="154">
        <v>0</v>
      </c>
      <c r="AO38" s="154">
        <v>0</v>
      </c>
      <c r="AP38" s="154"/>
      <c r="AQ38" s="154"/>
      <c r="AR38" s="154"/>
      <c r="AS38" s="154"/>
      <c r="AT38" s="154"/>
      <c r="AU38" s="154">
        <f t="shared" si="7"/>
        <v>0</v>
      </c>
      <c r="AV38" s="154"/>
      <c r="AW38" s="154"/>
      <c r="AX38" s="154"/>
      <c r="AY38" s="154"/>
      <c r="AZ38" s="154"/>
    </row>
    <row r="39" spans="1:68" s="157" customFormat="1" ht="31.95" customHeight="1">
      <c r="A39" s="153">
        <f t="shared" si="8"/>
        <v>35</v>
      </c>
      <c r="B39" s="153">
        <v>1954</v>
      </c>
      <c r="C39" s="153" t="s">
        <v>1209</v>
      </c>
      <c r="D39" s="154">
        <f>2000000+500000-500000</f>
        <v>2000000</v>
      </c>
      <c r="E39" s="154">
        <v>2000000</v>
      </c>
      <c r="F39" s="154">
        <f t="shared" si="0"/>
        <v>0</v>
      </c>
      <c r="G39" s="154">
        <v>2000000</v>
      </c>
      <c r="H39" s="154">
        <v>1675077</v>
      </c>
      <c r="I39" s="154">
        <v>0</v>
      </c>
      <c r="J39" s="154">
        <v>193587</v>
      </c>
      <c r="K39" s="154">
        <f t="shared" si="3"/>
        <v>193587</v>
      </c>
      <c r="L39" s="154">
        <f t="shared" si="1"/>
        <v>1868664</v>
      </c>
      <c r="M39" s="154">
        <f t="shared" si="4"/>
        <v>131336</v>
      </c>
      <c r="N39" s="154">
        <f>500000-500000</f>
        <v>0</v>
      </c>
      <c r="O39" s="154">
        <f t="shared" si="5"/>
        <v>0</v>
      </c>
      <c r="P39" s="154">
        <f t="shared" si="2"/>
        <v>131336</v>
      </c>
      <c r="Q39" s="154"/>
      <c r="R39" s="154"/>
      <c r="S39" s="154">
        <f t="shared" si="10"/>
        <v>0</v>
      </c>
      <c r="T39" s="154">
        <v>0</v>
      </c>
      <c r="U39" s="154">
        <v>0</v>
      </c>
      <c r="V39" s="154">
        <v>0</v>
      </c>
      <c r="W39" s="154"/>
      <c r="X39" s="154"/>
      <c r="Y39" s="154"/>
      <c r="Z39" s="154"/>
      <c r="AA39" s="153"/>
      <c r="AB39" s="242" t="s">
        <v>418</v>
      </c>
      <c r="AC39" s="153">
        <v>742000</v>
      </c>
      <c r="AD39" s="154"/>
      <c r="AE39" s="154"/>
      <c r="AF39" s="154"/>
      <c r="AG39" s="154"/>
      <c r="AH39" s="154"/>
      <c r="AI39" s="154"/>
      <c r="AJ39" s="154"/>
      <c r="AK39" s="154"/>
      <c r="AL39" s="438"/>
      <c r="AM39" s="154">
        <v>0</v>
      </c>
      <c r="AN39" s="154">
        <v>0</v>
      </c>
      <c r="AO39" s="154">
        <v>0</v>
      </c>
      <c r="AP39" s="154"/>
      <c r="AQ39" s="154"/>
      <c r="AR39" s="154"/>
      <c r="AS39" s="154"/>
      <c r="AT39" s="154"/>
      <c r="AU39" s="154">
        <f t="shared" si="7"/>
        <v>0</v>
      </c>
      <c r="AV39" s="154"/>
      <c r="AW39" s="154"/>
      <c r="AX39" s="154"/>
      <c r="AY39" s="154"/>
      <c r="AZ39" s="154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</row>
    <row r="40" spans="1:68" ht="31.95" customHeight="1">
      <c r="A40" s="153">
        <f t="shared" si="8"/>
        <v>36</v>
      </c>
      <c r="B40" s="241">
        <v>1957</v>
      </c>
      <c r="C40" s="153" t="s">
        <v>273</v>
      </c>
      <c r="D40" s="154">
        <v>60000000</v>
      </c>
      <c r="E40" s="154">
        <v>60000000</v>
      </c>
      <c r="F40" s="154">
        <f t="shared" si="0"/>
        <v>0</v>
      </c>
      <c r="G40" s="154">
        <v>4420000</v>
      </c>
      <c r="H40" s="154">
        <v>3654334</v>
      </c>
      <c r="I40" s="154">
        <v>0</v>
      </c>
      <c r="J40" s="154">
        <v>370583</v>
      </c>
      <c r="K40" s="154">
        <f t="shared" si="3"/>
        <v>370583</v>
      </c>
      <c r="L40" s="154">
        <f t="shared" si="1"/>
        <v>4024917</v>
      </c>
      <c r="M40" s="154">
        <f t="shared" si="4"/>
        <v>1395083</v>
      </c>
      <c r="N40" s="154">
        <f>54580000-20080000-2500000-2000000</f>
        <v>30000000</v>
      </c>
      <c r="O40" s="154">
        <f t="shared" si="5"/>
        <v>24580000</v>
      </c>
      <c r="P40" s="154">
        <f t="shared" si="2"/>
        <v>395083</v>
      </c>
      <c r="Q40" s="154">
        <v>1000000</v>
      </c>
      <c r="R40" s="154"/>
      <c r="S40" s="154">
        <f t="shared" si="10"/>
        <v>1000000</v>
      </c>
      <c r="T40" s="154">
        <v>0</v>
      </c>
      <c r="U40" s="154">
        <v>30000000</v>
      </c>
      <c r="V40" s="154">
        <v>0</v>
      </c>
      <c r="W40" s="154"/>
      <c r="X40" s="154"/>
      <c r="Y40" s="154"/>
      <c r="Z40" s="154"/>
      <c r="AA40" s="154">
        <v>30000000</v>
      </c>
      <c r="AB40" s="153" t="s">
        <v>816</v>
      </c>
      <c r="AC40" s="153">
        <v>810000</v>
      </c>
      <c r="AD40" s="154"/>
      <c r="AE40" s="154"/>
      <c r="AF40" s="154">
        <v>675003</v>
      </c>
      <c r="AG40" s="154"/>
      <c r="AH40" s="154">
        <v>12931964</v>
      </c>
      <c r="AI40" s="154"/>
      <c r="AJ40" s="154"/>
      <c r="AK40" s="154"/>
      <c r="AL40" s="438"/>
      <c r="AM40" s="154">
        <v>13606967</v>
      </c>
      <c r="AN40" s="154">
        <v>16393033</v>
      </c>
      <c r="AO40" s="154">
        <v>0</v>
      </c>
      <c r="AP40" s="154"/>
      <c r="AQ40" s="154"/>
      <c r="AR40" s="154"/>
      <c r="AS40" s="154"/>
      <c r="AT40" s="154">
        <v>13606967</v>
      </c>
      <c r="AU40" s="154">
        <f t="shared" si="7"/>
        <v>0</v>
      </c>
      <c r="AV40" s="154"/>
      <c r="AW40" s="154"/>
      <c r="AX40" s="154"/>
      <c r="AY40" s="154"/>
      <c r="AZ40" s="154"/>
    </row>
    <row r="41" spans="1:68" ht="31.95" customHeight="1">
      <c r="A41" s="153">
        <f t="shared" si="8"/>
        <v>37</v>
      </c>
      <c r="B41" s="241">
        <v>1961</v>
      </c>
      <c r="C41" s="153" t="s">
        <v>128</v>
      </c>
      <c r="D41" s="154">
        <v>128000000</v>
      </c>
      <c r="E41" s="154">
        <v>128000000</v>
      </c>
      <c r="F41" s="154">
        <f t="shared" si="0"/>
        <v>0</v>
      </c>
      <c r="G41" s="154">
        <v>500000</v>
      </c>
      <c r="H41" s="154">
        <v>0</v>
      </c>
      <c r="I41" s="154">
        <v>0</v>
      </c>
      <c r="J41" s="154">
        <v>0</v>
      </c>
      <c r="K41" s="154">
        <f t="shared" si="3"/>
        <v>0</v>
      </c>
      <c r="L41" s="154">
        <f t="shared" si="1"/>
        <v>0</v>
      </c>
      <c r="M41" s="154">
        <f t="shared" si="4"/>
        <v>500000</v>
      </c>
      <c r="N41" s="154">
        <v>500000</v>
      </c>
      <c r="O41" s="154">
        <f t="shared" si="5"/>
        <v>127000000</v>
      </c>
      <c r="P41" s="154">
        <f t="shared" si="2"/>
        <v>500000</v>
      </c>
      <c r="Q41" s="154"/>
      <c r="R41" s="154"/>
      <c r="S41" s="154">
        <f t="shared" si="10"/>
        <v>0</v>
      </c>
      <c r="T41" s="154">
        <v>0</v>
      </c>
      <c r="U41" s="154">
        <v>500000</v>
      </c>
      <c r="V41" s="154">
        <v>500000</v>
      </c>
      <c r="W41" s="154"/>
      <c r="X41" s="154"/>
      <c r="Y41" s="154"/>
      <c r="Z41" s="154"/>
      <c r="AA41" s="153"/>
      <c r="AB41" s="273" t="s">
        <v>1497</v>
      </c>
      <c r="AC41" s="153">
        <v>742000</v>
      </c>
      <c r="AD41" s="154"/>
      <c r="AE41" s="154"/>
      <c r="AF41" s="154"/>
      <c r="AG41" s="154"/>
      <c r="AH41" s="154"/>
      <c r="AI41" s="154"/>
      <c r="AJ41" s="154"/>
      <c r="AK41" s="154"/>
      <c r="AL41" s="438"/>
      <c r="AM41" s="154">
        <v>0</v>
      </c>
      <c r="AN41" s="154">
        <v>500000</v>
      </c>
      <c r="AO41" s="154">
        <v>0</v>
      </c>
      <c r="AP41" s="154"/>
      <c r="AQ41" s="154"/>
      <c r="AR41" s="154"/>
      <c r="AS41" s="154"/>
      <c r="AT41" s="154"/>
      <c r="AU41" s="154">
        <f t="shared" si="7"/>
        <v>0</v>
      </c>
      <c r="AV41" s="154"/>
      <c r="AW41" s="154"/>
      <c r="AX41" s="154"/>
      <c r="AY41" s="154"/>
      <c r="AZ41" s="154"/>
    </row>
    <row r="42" spans="1:68" ht="31.95" customHeight="1">
      <c r="A42" s="153">
        <f t="shared" si="8"/>
        <v>38</v>
      </c>
      <c r="B42" s="241">
        <v>1972</v>
      </c>
      <c r="C42" s="153" t="s">
        <v>990</v>
      </c>
      <c r="D42" s="154">
        <f>4470000-50000</f>
        <v>4420000</v>
      </c>
      <c r="E42" s="154">
        <v>4470000</v>
      </c>
      <c r="F42" s="154">
        <f t="shared" si="0"/>
        <v>-50000</v>
      </c>
      <c r="G42" s="154">
        <v>4470000</v>
      </c>
      <c r="H42" s="154">
        <v>4073430</v>
      </c>
      <c r="I42" s="154">
        <v>0</v>
      </c>
      <c r="J42" s="154">
        <v>256833</v>
      </c>
      <c r="K42" s="154">
        <f t="shared" si="3"/>
        <v>256833</v>
      </c>
      <c r="L42" s="154">
        <f t="shared" si="1"/>
        <v>4330263</v>
      </c>
      <c r="M42" s="154">
        <f>P42+S42-50000</f>
        <v>89737</v>
      </c>
      <c r="N42" s="154"/>
      <c r="O42" s="154">
        <f t="shared" si="5"/>
        <v>0</v>
      </c>
      <c r="P42" s="154">
        <f t="shared" si="2"/>
        <v>139737</v>
      </c>
      <c r="Q42" s="154"/>
      <c r="R42" s="154"/>
      <c r="S42" s="154">
        <f t="shared" si="10"/>
        <v>0</v>
      </c>
      <c r="T42" s="154">
        <v>50000</v>
      </c>
      <c r="U42" s="154">
        <v>-50000</v>
      </c>
      <c r="V42" s="154">
        <v>-50000</v>
      </c>
      <c r="W42" s="154"/>
      <c r="X42" s="154"/>
      <c r="Y42" s="154"/>
      <c r="Z42" s="154"/>
      <c r="AA42" s="153"/>
      <c r="AB42" s="153" t="s">
        <v>991</v>
      </c>
      <c r="AC42" s="153">
        <v>746000</v>
      </c>
      <c r="AD42" s="154"/>
      <c r="AE42" s="154"/>
      <c r="AF42" s="154">
        <v>-50000</v>
      </c>
      <c r="AG42" s="154"/>
      <c r="AH42" s="154"/>
      <c r="AI42" s="154"/>
      <c r="AJ42" s="154"/>
      <c r="AK42" s="154"/>
      <c r="AL42" s="438"/>
      <c r="AM42" s="154">
        <v>-50000</v>
      </c>
      <c r="AN42" s="154">
        <v>0</v>
      </c>
      <c r="AO42" s="154">
        <v>-50000</v>
      </c>
      <c r="AP42" s="154"/>
      <c r="AQ42" s="154"/>
      <c r="AR42" s="154"/>
      <c r="AS42" s="154"/>
      <c r="AT42" s="154"/>
      <c r="AU42" s="154">
        <f t="shared" si="7"/>
        <v>0</v>
      </c>
      <c r="AV42" s="154"/>
      <c r="AW42" s="154"/>
      <c r="AX42" s="154"/>
      <c r="AY42" s="154"/>
      <c r="AZ42" s="154"/>
    </row>
    <row r="43" spans="1:68" s="162" customFormat="1" ht="31.95" customHeight="1">
      <c r="A43" s="153">
        <f t="shared" si="8"/>
        <v>39</v>
      </c>
      <c r="B43" s="153">
        <v>1998</v>
      </c>
      <c r="C43" s="153" t="s">
        <v>1210</v>
      </c>
      <c r="D43" s="154">
        <v>4630000</v>
      </c>
      <c r="E43" s="154">
        <v>4630000</v>
      </c>
      <c r="F43" s="154">
        <f t="shared" si="0"/>
        <v>0</v>
      </c>
      <c r="G43" s="154">
        <v>150000</v>
      </c>
      <c r="H43" s="154">
        <v>12799</v>
      </c>
      <c r="I43" s="154">
        <v>0</v>
      </c>
      <c r="J43" s="154">
        <v>0</v>
      </c>
      <c r="K43" s="154">
        <f t="shared" si="3"/>
        <v>0</v>
      </c>
      <c r="L43" s="154">
        <f t="shared" si="1"/>
        <v>12799</v>
      </c>
      <c r="M43" s="154">
        <f t="shared" si="4"/>
        <v>337201</v>
      </c>
      <c r="N43" s="154">
        <f>1300000-300000</f>
        <v>1000000</v>
      </c>
      <c r="O43" s="154">
        <f t="shared" si="5"/>
        <v>3280000</v>
      </c>
      <c r="P43" s="154">
        <f t="shared" si="2"/>
        <v>137201</v>
      </c>
      <c r="Q43" s="154">
        <f>2500000-1000000-1300000</f>
        <v>200000</v>
      </c>
      <c r="R43" s="154"/>
      <c r="S43" s="154">
        <f t="shared" si="10"/>
        <v>200000</v>
      </c>
      <c r="T43" s="154">
        <v>0</v>
      </c>
      <c r="U43" s="154">
        <v>1000000</v>
      </c>
      <c r="V43" s="154">
        <v>1000000</v>
      </c>
      <c r="W43" s="154"/>
      <c r="X43" s="154"/>
      <c r="Y43" s="154"/>
      <c r="Z43" s="154"/>
      <c r="AA43" s="154"/>
      <c r="AB43" s="153" t="s">
        <v>621</v>
      </c>
      <c r="AC43" s="418">
        <v>870000</v>
      </c>
      <c r="AD43" s="154"/>
      <c r="AE43" s="154"/>
      <c r="AF43" s="154"/>
      <c r="AG43" s="154"/>
      <c r="AH43" s="154"/>
      <c r="AI43" s="154"/>
      <c r="AJ43" s="154"/>
      <c r="AK43" s="154"/>
      <c r="AL43" s="438"/>
      <c r="AM43" s="154">
        <v>0</v>
      </c>
      <c r="AN43" s="154">
        <v>1000000</v>
      </c>
      <c r="AO43" s="154">
        <v>0</v>
      </c>
      <c r="AP43" s="154"/>
      <c r="AQ43" s="154"/>
      <c r="AR43" s="154"/>
      <c r="AS43" s="154"/>
      <c r="AT43" s="154"/>
      <c r="AU43" s="154">
        <f t="shared" si="7"/>
        <v>0</v>
      </c>
      <c r="AV43" s="154"/>
      <c r="AW43" s="154"/>
      <c r="AX43" s="154"/>
      <c r="AY43" s="154"/>
      <c r="AZ43" s="154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</row>
    <row r="44" spans="1:68" s="162" customFormat="1" ht="31.95" customHeight="1">
      <c r="A44" s="153">
        <f t="shared" si="8"/>
        <v>40</v>
      </c>
      <c r="B44" s="153">
        <v>2002</v>
      </c>
      <c r="C44" s="153" t="s">
        <v>139</v>
      </c>
      <c r="D44" s="154">
        <v>1500000</v>
      </c>
      <c r="E44" s="154">
        <v>1500000</v>
      </c>
      <c r="F44" s="154">
        <f t="shared" si="0"/>
        <v>0</v>
      </c>
      <c r="G44" s="154">
        <f>700000-300000</f>
        <v>400000</v>
      </c>
      <c r="H44" s="154">
        <v>133342</v>
      </c>
      <c r="I44" s="154">
        <v>0</v>
      </c>
      <c r="J44" s="154">
        <v>0</v>
      </c>
      <c r="K44" s="154">
        <f t="shared" si="3"/>
        <v>0</v>
      </c>
      <c r="L44" s="154">
        <f t="shared" si="1"/>
        <v>133342</v>
      </c>
      <c r="M44" s="154">
        <f t="shared" si="4"/>
        <v>266658</v>
      </c>
      <c r="N44" s="154">
        <v>1100000</v>
      </c>
      <c r="O44" s="154">
        <f t="shared" si="5"/>
        <v>0</v>
      </c>
      <c r="P44" s="154">
        <f t="shared" si="2"/>
        <v>266658</v>
      </c>
      <c r="Q44" s="154"/>
      <c r="R44" s="154">
        <f>-300000+300000</f>
        <v>0</v>
      </c>
      <c r="S44" s="154">
        <f t="shared" si="10"/>
        <v>0</v>
      </c>
      <c r="T44" s="154">
        <v>0</v>
      </c>
      <c r="U44" s="154">
        <v>1100000</v>
      </c>
      <c r="V44" s="154">
        <v>1100000</v>
      </c>
      <c r="W44" s="154"/>
      <c r="X44" s="154"/>
      <c r="Y44" s="154"/>
      <c r="Z44" s="154"/>
      <c r="AA44" s="153"/>
      <c r="AB44" s="153" t="s">
        <v>419</v>
      </c>
      <c r="AC44" s="418">
        <v>742000</v>
      </c>
      <c r="AD44" s="154"/>
      <c r="AE44" s="154"/>
      <c r="AF44" s="154"/>
      <c r="AG44" s="154">
        <v>1100000</v>
      </c>
      <c r="AH44" s="154"/>
      <c r="AI44" s="154"/>
      <c r="AJ44" s="154"/>
      <c r="AK44" s="154"/>
      <c r="AL44" s="438"/>
      <c r="AM44" s="154">
        <v>1100000</v>
      </c>
      <c r="AN44" s="154">
        <v>0</v>
      </c>
      <c r="AO44" s="154">
        <v>1100000</v>
      </c>
      <c r="AP44" s="154"/>
      <c r="AQ44" s="154"/>
      <c r="AR44" s="154"/>
      <c r="AS44" s="154"/>
      <c r="AT44" s="154"/>
      <c r="AU44" s="154">
        <f t="shared" si="7"/>
        <v>0</v>
      </c>
      <c r="AV44" s="154"/>
      <c r="AW44" s="154"/>
      <c r="AX44" s="154"/>
      <c r="AY44" s="154"/>
      <c r="AZ44" s="154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</row>
    <row r="45" spans="1:68" s="162" customFormat="1" ht="31.95" customHeight="1">
      <c r="A45" s="153">
        <f t="shared" si="8"/>
        <v>41</v>
      </c>
      <c r="B45" s="153">
        <v>2008</v>
      </c>
      <c r="C45" s="153" t="s">
        <v>261</v>
      </c>
      <c r="D45" s="154">
        <v>2500000</v>
      </c>
      <c r="E45" s="154">
        <v>2500000</v>
      </c>
      <c r="F45" s="154">
        <f t="shared" si="0"/>
        <v>0</v>
      </c>
      <c r="G45" s="154">
        <v>250000</v>
      </c>
      <c r="H45" s="154">
        <v>0</v>
      </c>
      <c r="I45" s="154">
        <v>0</v>
      </c>
      <c r="J45" s="154">
        <v>0</v>
      </c>
      <c r="K45" s="154">
        <f t="shared" si="3"/>
        <v>0</v>
      </c>
      <c r="L45" s="154">
        <f t="shared" si="1"/>
        <v>0</v>
      </c>
      <c r="M45" s="154">
        <f t="shared" si="4"/>
        <v>250000</v>
      </c>
      <c r="N45" s="154">
        <f>2250000-1250000</f>
        <v>1000000</v>
      </c>
      <c r="O45" s="154">
        <f t="shared" si="5"/>
        <v>1250000</v>
      </c>
      <c r="P45" s="154">
        <f t="shared" si="2"/>
        <v>250000</v>
      </c>
      <c r="Q45" s="154"/>
      <c r="R45" s="154">
        <f>250000-250000</f>
        <v>0</v>
      </c>
      <c r="S45" s="154">
        <f t="shared" si="10"/>
        <v>0</v>
      </c>
      <c r="T45" s="154">
        <v>0</v>
      </c>
      <c r="U45" s="154">
        <v>1000000</v>
      </c>
      <c r="V45" s="154">
        <v>1000000</v>
      </c>
      <c r="W45" s="154"/>
      <c r="X45" s="154"/>
      <c r="Y45" s="154"/>
      <c r="Z45" s="154"/>
      <c r="AA45" s="153"/>
      <c r="AB45" s="341" t="s">
        <v>536</v>
      </c>
      <c r="AC45" s="153">
        <v>742000</v>
      </c>
      <c r="AD45" s="154"/>
      <c r="AE45" s="154"/>
      <c r="AF45" s="154"/>
      <c r="AG45" s="154"/>
      <c r="AH45" s="154"/>
      <c r="AI45" s="154"/>
      <c r="AJ45" s="154"/>
      <c r="AK45" s="154"/>
      <c r="AL45" s="438"/>
      <c r="AM45" s="154">
        <v>0</v>
      </c>
      <c r="AN45" s="154">
        <v>1000000</v>
      </c>
      <c r="AO45" s="154">
        <v>0</v>
      </c>
      <c r="AP45" s="154"/>
      <c r="AQ45" s="154"/>
      <c r="AR45" s="154"/>
      <c r="AS45" s="154"/>
      <c r="AT45" s="154"/>
      <c r="AU45" s="154">
        <f t="shared" si="7"/>
        <v>0</v>
      </c>
      <c r="AV45" s="154"/>
      <c r="AW45" s="154"/>
      <c r="AX45" s="154"/>
      <c r="AY45" s="154"/>
      <c r="AZ45" s="154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</row>
    <row r="46" spans="1:68" s="5" customFormat="1" ht="31.95" customHeight="1">
      <c r="A46" s="153">
        <f t="shared" si="8"/>
        <v>42</v>
      </c>
      <c r="B46" s="3">
        <v>2009</v>
      </c>
      <c r="C46" s="3" t="s">
        <v>227</v>
      </c>
      <c r="D46" s="4">
        <v>13700000</v>
      </c>
      <c r="E46" s="4">
        <v>13700000</v>
      </c>
      <c r="F46" s="4">
        <f t="shared" si="0"/>
        <v>0</v>
      </c>
      <c r="G46" s="4">
        <v>2200000</v>
      </c>
      <c r="H46" s="4">
        <v>20187</v>
      </c>
      <c r="I46" s="4">
        <v>258309</v>
      </c>
      <c r="J46" s="4">
        <v>44954</v>
      </c>
      <c r="K46" s="4">
        <f>SUM(I46:J46)</f>
        <v>303263</v>
      </c>
      <c r="L46" s="4">
        <f>H46+K46</f>
        <v>323450</v>
      </c>
      <c r="M46" s="154">
        <f t="shared" si="4"/>
        <v>1876550</v>
      </c>
      <c r="N46" s="154">
        <f>11500000-4500000-2000000-1000000-3000000</f>
        <v>1000000</v>
      </c>
      <c r="O46" s="4">
        <f t="shared" si="5"/>
        <v>10500000</v>
      </c>
      <c r="P46" s="4">
        <f t="shared" si="2"/>
        <v>1876550</v>
      </c>
      <c r="Q46" s="4"/>
      <c r="R46" s="4"/>
      <c r="S46" s="4">
        <f>SUM(Q46:R46)</f>
        <v>0</v>
      </c>
      <c r="T46" s="4">
        <v>0</v>
      </c>
      <c r="U46" s="4">
        <v>1000000</v>
      </c>
      <c r="V46" s="4">
        <v>1000000</v>
      </c>
      <c r="W46" s="4"/>
      <c r="X46" s="4"/>
      <c r="Y46" s="4"/>
      <c r="Z46" s="4"/>
      <c r="AA46" s="3"/>
      <c r="AB46" s="3" t="s">
        <v>553</v>
      </c>
      <c r="AC46" s="3">
        <v>742000</v>
      </c>
      <c r="AD46" s="154"/>
      <c r="AE46" s="154"/>
      <c r="AF46" s="154"/>
      <c r="AG46" s="154"/>
      <c r="AH46" s="154"/>
      <c r="AI46" s="154"/>
      <c r="AJ46" s="154"/>
      <c r="AK46" s="154"/>
      <c r="AL46" s="438"/>
      <c r="AM46" s="154">
        <v>0</v>
      </c>
      <c r="AN46" s="154">
        <v>1000000</v>
      </c>
      <c r="AO46" s="154">
        <v>0</v>
      </c>
      <c r="AP46" s="154"/>
      <c r="AQ46" s="154"/>
      <c r="AR46" s="154"/>
      <c r="AS46" s="154"/>
      <c r="AT46" s="154"/>
      <c r="AU46" s="154">
        <f t="shared" si="7"/>
        <v>0</v>
      </c>
      <c r="AV46" s="154"/>
      <c r="AW46" s="154"/>
      <c r="AX46" s="154"/>
      <c r="AY46" s="154"/>
      <c r="AZ46" s="154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</row>
    <row r="47" spans="1:68" s="5" customFormat="1" ht="31.95" customHeight="1">
      <c r="A47" s="153">
        <f t="shared" si="8"/>
        <v>43</v>
      </c>
      <c r="B47" s="3">
        <v>2010</v>
      </c>
      <c r="C47" s="3" t="s">
        <v>1213</v>
      </c>
      <c r="D47" s="4">
        <v>8000000</v>
      </c>
      <c r="E47" s="4">
        <v>8000000</v>
      </c>
      <c r="F47" s="154">
        <f t="shared" si="0"/>
        <v>0</v>
      </c>
      <c r="G47" s="4">
        <v>0</v>
      </c>
      <c r="H47" s="4">
        <v>0</v>
      </c>
      <c r="I47" s="4">
        <v>0</v>
      </c>
      <c r="J47" s="4">
        <v>0</v>
      </c>
      <c r="K47" s="154">
        <f t="shared" si="3"/>
        <v>0</v>
      </c>
      <c r="L47" s="154">
        <f t="shared" si="1"/>
        <v>0</v>
      </c>
      <c r="M47" s="154">
        <f t="shared" si="4"/>
        <v>0</v>
      </c>
      <c r="N47" s="154">
        <f>8000000-3000000-1500000-1000000-2500000</f>
        <v>0</v>
      </c>
      <c r="O47" s="154">
        <f t="shared" si="5"/>
        <v>8000000</v>
      </c>
      <c r="P47" s="154">
        <f t="shared" si="2"/>
        <v>0</v>
      </c>
      <c r="Q47" s="154"/>
      <c r="R47" s="154"/>
      <c r="S47" s="154">
        <f t="shared" si="10"/>
        <v>0</v>
      </c>
      <c r="T47" s="154">
        <v>0</v>
      </c>
      <c r="U47" s="154">
        <v>0</v>
      </c>
      <c r="V47" s="154">
        <v>0</v>
      </c>
      <c r="W47" s="154"/>
      <c r="X47" s="154"/>
      <c r="Y47" s="154"/>
      <c r="Z47" s="154"/>
      <c r="AA47" s="153"/>
      <c r="AB47" s="3" t="s">
        <v>458</v>
      </c>
      <c r="AC47" s="3">
        <v>742000</v>
      </c>
      <c r="AD47" s="154"/>
      <c r="AE47" s="154"/>
      <c r="AF47" s="154"/>
      <c r="AG47" s="154"/>
      <c r="AH47" s="154"/>
      <c r="AI47" s="154"/>
      <c r="AJ47" s="154"/>
      <c r="AK47" s="154"/>
      <c r="AL47" s="438"/>
      <c r="AM47" s="154">
        <v>0</v>
      </c>
      <c r="AN47" s="154">
        <v>0</v>
      </c>
      <c r="AO47" s="154">
        <v>0</v>
      </c>
      <c r="AP47" s="154"/>
      <c r="AQ47" s="154"/>
      <c r="AR47" s="154"/>
      <c r="AS47" s="154"/>
      <c r="AT47" s="154"/>
      <c r="AU47" s="154">
        <f t="shared" si="7"/>
        <v>0</v>
      </c>
      <c r="AV47" s="154"/>
      <c r="AW47" s="154"/>
      <c r="AX47" s="154"/>
      <c r="AY47" s="154"/>
      <c r="AZ47" s="154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</row>
    <row r="48" spans="1:68" s="5" customFormat="1" ht="31.95" customHeight="1">
      <c r="A48" s="153">
        <f t="shared" si="8"/>
        <v>44</v>
      </c>
      <c r="B48" s="3">
        <v>2011</v>
      </c>
      <c r="C48" s="28" t="s">
        <v>669</v>
      </c>
      <c r="D48" s="4">
        <v>80000000</v>
      </c>
      <c r="E48" s="4">
        <v>80000000</v>
      </c>
      <c r="F48" s="154">
        <f t="shared" si="0"/>
        <v>0</v>
      </c>
      <c r="G48" s="4">
        <f>2562673+2000000</f>
        <v>4562673</v>
      </c>
      <c r="H48" s="4">
        <v>2168048</v>
      </c>
      <c r="I48" s="4">
        <v>0</v>
      </c>
      <c r="J48" s="4">
        <v>325399</v>
      </c>
      <c r="K48" s="154">
        <f t="shared" si="3"/>
        <v>325399</v>
      </c>
      <c r="L48" s="154">
        <f t="shared" si="1"/>
        <v>2493447</v>
      </c>
      <c r="M48" s="154">
        <f t="shared" si="4"/>
        <v>20069226</v>
      </c>
      <c r="N48" s="154">
        <f>37000000-15000000-4000000-2000000-6000000-2000000</f>
        <v>8000000</v>
      </c>
      <c r="O48" s="154">
        <f t="shared" si="5"/>
        <v>49437327</v>
      </c>
      <c r="P48" s="154">
        <f t="shared" si="2"/>
        <v>2069226</v>
      </c>
      <c r="Q48" s="154">
        <f>20000000-2000000</f>
        <v>18000000</v>
      </c>
      <c r="R48" s="154"/>
      <c r="S48" s="154">
        <f t="shared" si="10"/>
        <v>18000000</v>
      </c>
      <c r="T48" s="154">
        <v>0</v>
      </c>
      <c r="U48" s="154">
        <v>8000000</v>
      </c>
      <c r="V48" s="154">
        <v>8000000</v>
      </c>
      <c r="W48" s="154"/>
      <c r="X48" s="154"/>
      <c r="Y48" s="154"/>
      <c r="Z48" s="154"/>
      <c r="AA48" s="153"/>
      <c r="AB48" s="3" t="s">
        <v>622</v>
      </c>
      <c r="AC48" s="3">
        <v>742000</v>
      </c>
      <c r="AD48" s="154"/>
      <c r="AE48" s="154"/>
      <c r="AF48" s="154"/>
      <c r="AG48" s="154"/>
      <c r="AH48" s="154"/>
      <c r="AI48" s="154"/>
      <c r="AJ48" s="154"/>
      <c r="AK48" s="154"/>
      <c r="AL48" s="438">
        <v>8000000</v>
      </c>
      <c r="AM48" s="154">
        <v>8000000</v>
      </c>
      <c r="AN48" s="154">
        <v>0</v>
      </c>
      <c r="AO48" s="154">
        <v>8000000</v>
      </c>
      <c r="AP48" s="154"/>
      <c r="AQ48" s="154"/>
      <c r="AR48" s="154"/>
      <c r="AS48" s="154"/>
      <c r="AT48" s="154"/>
      <c r="AU48" s="154">
        <f t="shared" si="7"/>
        <v>8000000</v>
      </c>
      <c r="AV48" s="154"/>
      <c r="AW48" s="154"/>
      <c r="AX48" s="154"/>
      <c r="AY48" s="154"/>
      <c r="AZ48" s="154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</row>
    <row r="49" spans="1:68" s="162" customFormat="1" ht="31.95" customHeight="1">
      <c r="A49" s="153">
        <f t="shared" si="8"/>
        <v>45</v>
      </c>
      <c r="B49" s="153">
        <v>2015</v>
      </c>
      <c r="C49" s="259" t="s">
        <v>670</v>
      </c>
      <c r="D49" s="154">
        <v>54000000</v>
      </c>
      <c r="E49" s="154">
        <v>54000000</v>
      </c>
      <c r="F49" s="154">
        <f t="shared" si="0"/>
        <v>0</v>
      </c>
      <c r="G49" s="154">
        <v>10500000</v>
      </c>
      <c r="H49" s="154">
        <v>1365644</v>
      </c>
      <c r="I49" s="154">
        <v>0</v>
      </c>
      <c r="J49" s="154">
        <v>134447</v>
      </c>
      <c r="K49" s="154">
        <f t="shared" si="3"/>
        <v>134447</v>
      </c>
      <c r="L49" s="154">
        <f t="shared" si="1"/>
        <v>1500091</v>
      </c>
      <c r="M49" s="154">
        <f t="shared" si="4"/>
        <v>28999909</v>
      </c>
      <c r="N49" s="154">
        <f>23500000-13500000</f>
        <v>10000000</v>
      </c>
      <c r="O49" s="154">
        <f t="shared" si="5"/>
        <v>13500000</v>
      </c>
      <c r="P49" s="154">
        <f t="shared" si="2"/>
        <v>8999909</v>
      </c>
      <c r="Q49" s="154">
        <v>20000000</v>
      </c>
      <c r="R49" s="154"/>
      <c r="S49" s="154">
        <f t="shared" si="10"/>
        <v>20000000</v>
      </c>
      <c r="T49" s="154">
        <v>0</v>
      </c>
      <c r="U49" s="154">
        <v>10000000</v>
      </c>
      <c r="V49" s="154">
        <v>4234031</v>
      </c>
      <c r="W49" s="154"/>
      <c r="X49" s="154"/>
      <c r="Y49" s="154"/>
      <c r="Z49" s="154"/>
      <c r="AA49" s="154">
        <v>5765969</v>
      </c>
      <c r="AB49" s="153" t="s">
        <v>1498</v>
      </c>
      <c r="AC49" s="153">
        <v>810000</v>
      </c>
      <c r="AD49" s="154"/>
      <c r="AE49" s="154"/>
      <c r="AF49" s="154"/>
      <c r="AG49" s="154"/>
      <c r="AH49" s="154"/>
      <c r="AI49" s="154"/>
      <c r="AJ49" s="154"/>
      <c r="AK49" s="154"/>
      <c r="AL49" s="438">
        <v>4234031</v>
      </c>
      <c r="AM49" s="154">
        <v>4234031</v>
      </c>
      <c r="AN49" s="154">
        <v>5765969</v>
      </c>
      <c r="AO49" s="154">
        <v>4234031</v>
      </c>
      <c r="AP49" s="154"/>
      <c r="AQ49" s="154"/>
      <c r="AR49" s="154"/>
      <c r="AS49" s="154"/>
      <c r="AT49" s="154"/>
      <c r="AU49" s="154">
        <f t="shared" si="7"/>
        <v>4234031</v>
      </c>
      <c r="AV49" s="154"/>
      <c r="AW49" s="154"/>
      <c r="AX49" s="154"/>
      <c r="AY49" s="154"/>
      <c r="AZ49" s="154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</row>
    <row r="50" spans="1:68" ht="31.95" customHeight="1">
      <c r="A50" s="153">
        <f t="shared" si="8"/>
        <v>46</v>
      </c>
      <c r="B50" s="153">
        <v>2017</v>
      </c>
      <c r="C50" s="245" t="s">
        <v>671</v>
      </c>
      <c r="D50" s="154">
        <f>30000000+7100000</f>
        <v>37100000</v>
      </c>
      <c r="E50" s="154">
        <v>30000000</v>
      </c>
      <c r="F50" s="154">
        <f t="shared" si="0"/>
        <v>7100000</v>
      </c>
      <c r="G50" s="154">
        <v>2250000</v>
      </c>
      <c r="H50" s="154">
        <v>1850358</v>
      </c>
      <c r="I50" s="154">
        <v>0</v>
      </c>
      <c r="J50" s="154">
        <v>40333</v>
      </c>
      <c r="K50" s="154">
        <f t="shared" si="3"/>
        <v>40333</v>
      </c>
      <c r="L50" s="154">
        <f t="shared" si="1"/>
        <v>1890691</v>
      </c>
      <c r="M50" s="154">
        <f t="shared" si="4"/>
        <v>1109309</v>
      </c>
      <c r="N50" s="154">
        <f>32000000-12000000-4000000-3000000-3000000-3000000</f>
        <v>7000000</v>
      </c>
      <c r="O50" s="154">
        <f t="shared" si="5"/>
        <v>27100000</v>
      </c>
      <c r="P50" s="154">
        <f t="shared" si="2"/>
        <v>359309</v>
      </c>
      <c r="Q50" s="154">
        <v>750000</v>
      </c>
      <c r="R50" s="154"/>
      <c r="S50" s="154">
        <f t="shared" si="10"/>
        <v>750000</v>
      </c>
      <c r="T50" s="154">
        <v>0</v>
      </c>
      <c r="U50" s="154">
        <v>7000000</v>
      </c>
      <c r="V50" s="154">
        <v>7000000</v>
      </c>
      <c r="W50" s="154"/>
      <c r="X50" s="154"/>
      <c r="Y50" s="154"/>
      <c r="Z50" s="154"/>
      <c r="AA50" s="153"/>
      <c r="AB50" s="153" t="s">
        <v>537</v>
      </c>
      <c r="AC50" s="153">
        <v>824000</v>
      </c>
      <c r="AD50" s="154"/>
      <c r="AE50" s="154"/>
      <c r="AF50" s="154"/>
      <c r="AG50" s="154"/>
      <c r="AH50" s="154"/>
      <c r="AI50" s="154"/>
      <c r="AJ50" s="154">
        <v>2500000</v>
      </c>
      <c r="AK50" s="154"/>
      <c r="AL50" s="438">
        <v>4500000</v>
      </c>
      <c r="AM50" s="154">
        <v>7000000</v>
      </c>
      <c r="AN50" s="154">
        <v>0</v>
      </c>
      <c r="AO50" s="154">
        <v>7000000</v>
      </c>
      <c r="AP50" s="154"/>
      <c r="AQ50" s="154"/>
      <c r="AR50" s="154"/>
      <c r="AS50" s="154"/>
      <c r="AT50" s="154"/>
      <c r="AU50" s="154">
        <f t="shared" si="7"/>
        <v>4500000</v>
      </c>
      <c r="AV50" s="154"/>
      <c r="AW50" s="154"/>
      <c r="AX50" s="154"/>
      <c r="AY50" s="154"/>
      <c r="AZ50" s="154"/>
    </row>
    <row r="51" spans="1:68" ht="31.95" customHeight="1">
      <c r="A51" s="153">
        <f t="shared" si="8"/>
        <v>47</v>
      </c>
      <c r="B51" s="153">
        <v>2018</v>
      </c>
      <c r="C51" s="153" t="s">
        <v>274</v>
      </c>
      <c r="D51" s="154">
        <v>6600000</v>
      </c>
      <c r="E51" s="154">
        <v>6600000</v>
      </c>
      <c r="F51" s="154">
        <f t="shared" si="0"/>
        <v>0</v>
      </c>
      <c r="G51" s="154">
        <v>6600000</v>
      </c>
      <c r="H51" s="154">
        <v>2716605</v>
      </c>
      <c r="I51" s="154">
        <v>0</v>
      </c>
      <c r="J51" s="154">
        <v>151387</v>
      </c>
      <c r="K51" s="154">
        <f t="shared" si="3"/>
        <v>151387</v>
      </c>
      <c r="L51" s="154">
        <f t="shared" si="1"/>
        <v>2867992</v>
      </c>
      <c r="M51" s="154">
        <f t="shared" si="4"/>
        <v>3732008</v>
      </c>
      <c r="N51" s="154"/>
      <c r="O51" s="154">
        <f t="shared" si="5"/>
        <v>0</v>
      </c>
      <c r="P51" s="154">
        <f t="shared" si="2"/>
        <v>3732008</v>
      </c>
      <c r="Q51" s="154"/>
      <c r="R51" s="154"/>
      <c r="S51" s="154">
        <f t="shared" si="10"/>
        <v>0</v>
      </c>
      <c r="T51" s="154">
        <v>0</v>
      </c>
      <c r="U51" s="154">
        <v>0</v>
      </c>
      <c r="V51" s="154">
        <v>0</v>
      </c>
      <c r="W51" s="154"/>
      <c r="X51" s="154"/>
      <c r="Y51" s="154"/>
      <c r="Z51" s="154"/>
      <c r="AA51" s="153"/>
      <c r="AB51" s="245" t="s">
        <v>1469</v>
      </c>
      <c r="AC51" s="153">
        <v>742000</v>
      </c>
      <c r="AD51" s="154"/>
      <c r="AE51" s="154"/>
      <c r="AF51" s="154"/>
      <c r="AG51" s="154"/>
      <c r="AH51" s="154"/>
      <c r="AI51" s="154"/>
      <c r="AJ51" s="154"/>
      <c r="AK51" s="154"/>
      <c r="AL51" s="438"/>
      <c r="AM51" s="154">
        <v>0</v>
      </c>
      <c r="AN51" s="154">
        <v>0</v>
      </c>
      <c r="AO51" s="154">
        <v>0</v>
      </c>
      <c r="AP51" s="154"/>
      <c r="AQ51" s="154"/>
      <c r="AR51" s="154"/>
      <c r="AS51" s="154"/>
      <c r="AT51" s="154"/>
      <c r="AU51" s="154">
        <f t="shared" si="7"/>
        <v>0</v>
      </c>
      <c r="AV51" s="154"/>
      <c r="AW51" s="154"/>
      <c r="AX51" s="154"/>
      <c r="AY51" s="154"/>
      <c r="AZ51" s="154"/>
    </row>
    <row r="52" spans="1:68" s="157" customFormat="1" ht="31.95" customHeight="1">
      <c r="A52" s="153">
        <f t="shared" si="8"/>
        <v>48</v>
      </c>
      <c r="B52" s="153">
        <v>2021</v>
      </c>
      <c r="C52" s="153" t="s">
        <v>1214</v>
      </c>
      <c r="D52" s="154">
        <v>8200000</v>
      </c>
      <c r="E52" s="154">
        <v>8200000</v>
      </c>
      <c r="F52" s="154">
        <f t="shared" si="0"/>
        <v>0</v>
      </c>
      <c r="G52" s="154">
        <v>150000</v>
      </c>
      <c r="H52" s="154">
        <v>40865</v>
      </c>
      <c r="I52" s="154">
        <v>0</v>
      </c>
      <c r="J52" s="154">
        <v>0</v>
      </c>
      <c r="K52" s="154">
        <f t="shared" si="3"/>
        <v>0</v>
      </c>
      <c r="L52" s="154">
        <f t="shared" si="1"/>
        <v>40865</v>
      </c>
      <c r="M52" s="154">
        <f t="shared" si="4"/>
        <v>109135</v>
      </c>
      <c r="N52" s="154"/>
      <c r="O52" s="154">
        <f t="shared" si="5"/>
        <v>8050000</v>
      </c>
      <c r="P52" s="154">
        <f t="shared" si="2"/>
        <v>109135</v>
      </c>
      <c r="Q52" s="154"/>
      <c r="R52" s="154"/>
      <c r="S52" s="154">
        <f t="shared" si="10"/>
        <v>0</v>
      </c>
      <c r="T52" s="154">
        <v>0</v>
      </c>
      <c r="U52" s="154">
        <v>0</v>
      </c>
      <c r="V52" s="154">
        <v>0</v>
      </c>
      <c r="W52" s="154"/>
      <c r="X52" s="154"/>
      <c r="Y52" s="154"/>
      <c r="Z52" s="154"/>
      <c r="AA52" s="153"/>
      <c r="AB52" s="153" t="s">
        <v>468</v>
      </c>
      <c r="AC52" s="153">
        <v>850000</v>
      </c>
      <c r="AD52" s="154"/>
      <c r="AE52" s="154"/>
      <c r="AF52" s="154"/>
      <c r="AG52" s="154"/>
      <c r="AH52" s="154"/>
      <c r="AI52" s="154"/>
      <c r="AJ52" s="154"/>
      <c r="AK52" s="154"/>
      <c r="AL52" s="438"/>
      <c r="AM52" s="154">
        <v>0</v>
      </c>
      <c r="AN52" s="154">
        <v>0</v>
      </c>
      <c r="AO52" s="154">
        <v>0</v>
      </c>
      <c r="AP52" s="154"/>
      <c r="AQ52" s="154"/>
      <c r="AR52" s="154"/>
      <c r="AS52" s="154"/>
      <c r="AT52" s="154"/>
      <c r="AU52" s="154">
        <f t="shared" si="7"/>
        <v>0</v>
      </c>
      <c r="AV52" s="154"/>
      <c r="AW52" s="154"/>
      <c r="AX52" s="154"/>
      <c r="AY52" s="154"/>
      <c r="AZ52" s="154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</row>
    <row r="53" spans="1:68" s="157" customFormat="1" ht="31.95" customHeight="1">
      <c r="A53" s="153">
        <f t="shared" si="8"/>
        <v>49</v>
      </c>
      <c r="B53" s="153">
        <v>2022</v>
      </c>
      <c r="C53" s="153" t="s">
        <v>672</v>
      </c>
      <c r="D53" s="154">
        <v>14000000</v>
      </c>
      <c r="E53" s="154">
        <v>14000000</v>
      </c>
      <c r="F53" s="154">
        <f t="shared" si="0"/>
        <v>0</v>
      </c>
      <c r="G53" s="154">
        <v>12100000</v>
      </c>
      <c r="H53" s="154">
        <v>4292387</v>
      </c>
      <c r="I53" s="154">
        <v>0</v>
      </c>
      <c r="J53" s="154">
        <v>730999</v>
      </c>
      <c r="K53" s="154">
        <f t="shared" si="3"/>
        <v>730999</v>
      </c>
      <c r="L53" s="154">
        <f t="shared" si="1"/>
        <v>5023386</v>
      </c>
      <c r="M53" s="154">
        <f t="shared" si="4"/>
        <v>8976614</v>
      </c>
      <c r="N53" s="154"/>
      <c r="O53" s="154">
        <f t="shared" si="5"/>
        <v>0</v>
      </c>
      <c r="P53" s="154">
        <f t="shared" si="2"/>
        <v>7076614</v>
      </c>
      <c r="Q53" s="154">
        <v>1900000</v>
      </c>
      <c r="R53" s="154"/>
      <c r="S53" s="154">
        <f t="shared" si="10"/>
        <v>1900000</v>
      </c>
      <c r="T53" s="154">
        <v>0</v>
      </c>
      <c r="U53" s="154">
        <v>0</v>
      </c>
      <c r="V53" s="154">
        <v>0</v>
      </c>
      <c r="W53" s="154"/>
      <c r="X53" s="154"/>
      <c r="Y53" s="154"/>
      <c r="Z53" s="154"/>
      <c r="AA53" s="153"/>
      <c r="AB53" s="153" t="s">
        <v>1470</v>
      </c>
      <c r="AC53" s="153">
        <v>829000</v>
      </c>
      <c r="AD53" s="154"/>
      <c r="AE53" s="154"/>
      <c r="AF53" s="154"/>
      <c r="AG53" s="154"/>
      <c r="AH53" s="154"/>
      <c r="AI53" s="154"/>
      <c r="AJ53" s="154"/>
      <c r="AK53" s="154"/>
      <c r="AL53" s="438"/>
      <c r="AM53" s="154">
        <v>0</v>
      </c>
      <c r="AN53" s="154">
        <v>0</v>
      </c>
      <c r="AO53" s="154">
        <v>0</v>
      </c>
      <c r="AP53" s="154"/>
      <c r="AQ53" s="154"/>
      <c r="AR53" s="154"/>
      <c r="AS53" s="154"/>
      <c r="AT53" s="154"/>
      <c r="AU53" s="154">
        <f t="shared" si="7"/>
        <v>0</v>
      </c>
      <c r="AV53" s="154"/>
      <c r="AW53" s="154"/>
      <c r="AX53" s="154"/>
      <c r="AY53" s="154"/>
      <c r="AZ53" s="154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7"/>
    </row>
    <row r="54" spans="1:68" s="157" customFormat="1" ht="31.95" customHeight="1">
      <c r="A54" s="153">
        <f t="shared" si="8"/>
        <v>50</v>
      </c>
      <c r="B54" s="153">
        <v>2023</v>
      </c>
      <c r="C54" s="153" t="s">
        <v>992</v>
      </c>
      <c r="D54" s="154">
        <v>7340000</v>
      </c>
      <c r="E54" s="154">
        <v>7340000</v>
      </c>
      <c r="F54" s="154">
        <f t="shared" si="0"/>
        <v>0</v>
      </c>
      <c r="G54" s="154">
        <v>230000</v>
      </c>
      <c r="H54" s="154">
        <v>227341</v>
      </c>
      <c r="I54" s="154">
        <v>0</v>
      </c>
      <c r="J54" s="154">
        <v>2657</v>
      </c>
      <c r="K54" s="154">
        <f t="shared" si="3"/>
        <v>2657</v>
      </c>
      <c r="L54" s="154">
        <f t="shared" si="1"/>
        <v>229998</v>
      </c>
      <c r="M54" s="154">
        <f t="shared" si="4"/>
        <v>2</v>
      </c>
      <c r="N54" s="154">
        <f>7110000-7110000</f>
        <v>0</v>
      </c>
      <c r="O54" s="154">
        <f t="shared" si="5"/>
        <v>7110000</v>
      </c>
      <c r="P54" s="154">
        <f t="shared" si="2"/>
        <v>2</v>
      </c>
      <c r="Q54" s="154"/>
      <c r="R54" s="154"/>
      <c r="S54" s="154">
        <f t="shared" si="10"/>
        <v>0</v>
      </c>
      <c r="T54" s="154">
        <v>0</v>
      </c>
      <c r="U54" s="154">
        <v>0</v>
      </c>
      <c r="V54" s="154">
        <v>0</v>
      </c>
      <c r="W54" s="154"/>
      <c r="X54" s="154"/>
      <c r="Y54" s="154"/>
      <c r="Z54" s="154"/>
      <c r="AA54" s="154">
        <v>0</v>
      </c>
      <c r="AB54" s="153" t="s">
        <v>1471</v>
      </c>
      <c r="AC54" s="153">
        <v>810000</v>
      </c>
      <c r="AD54" s="154"/>
      <c r="AE54" s="154"/>
      <c r="AF54" s="154"/>
      <c r="AG54" s="154"/>
      <c r="AH54" s="154"/>
      <c r="AI54" s="154"/>
      <c r="AJ54" s="154"/>
      <c r="AK54" s="154"/>
      <c r="AL54" s="438"/>
      <c r="AM54" s="154">
        <v>0</v>
      </c>
      <c r="AN54" s="154">
        <v>0</v>
      </c>
      <c r="AO54" s="154">
        <v>0</v>
      </c>
      <c r="AP54" s="154"/>
      <c r="AQ54" s="154"/>
      <c r="AR54" s="154"/>
      <c r="AS54" s="154"/>
      <c r="AT54" s="154"/>
      <c r="AU54" s="154">
        <f t="shared" si="7"/>
        <v>0</v>
      </c>
      <c r="AV54" s="154"/>
      <c r="AW54" s="154"/>
      <c r="AX54" s="154"/>
      <c r="AY54" s="154"/>
      <c r="AZ54" s="154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</row>
    <row r="55" spans="1:68" s="157" customFormat="1" ht="31.95" customHeight="1">
      <c r="A55" s="153">
        <f t="shared" si="8"/>
        <v>51</v>
      </c>
      <c r="B55" s="153">
        <v>2024</v>
      </c>
      <c r="C55" s="153" t="s">
        <v>275</v>
      </c>
      <c r="D55" s="154">
        <v>16300000</v>
      </c>
      <c r="E55" s="154">
        <v>16300000</v>
      </c>
      <c r="F55" s="154">
        <f t="shared" si="0"/>
        <v>0</v>
      </c>
      <c r="G55" s="154">
        <v>10040000</v>
      </c>
      <c r="H55" s="154">
        <v>4362205</v>
      </c>
      <c r="I55" s="154">
        <v>0</v>
      </c>
      <c r="J55" s="154">
        <v>1773811</v>
      </c>
      <c r="K55" s="154">
        <f t="shared" si="3"/>
        <v>1773811</v>
      </c>
      <c r="L55" s="154">
        <f t="shared" si="1"/>
        <v>6136016</v>
      </c>
      <c r="M55" s="154">
        <f t="shared" si="4"/>
        <v>10163984</v>
      </c>
      <c r="N55" s="154"/>
      <c r="O55" s="154">
        <f t="shared" si="5"/>
        <v>0</v>
      </c>
      <c r="P55" s="154">
        <f t="shared" si="2"/>
        <v>3903984</v>
      </c>
      <c r="Q55" s="154">
        <v>6260000</v>
      </c>
      <c r="R55" s="154"/>
      <c r="S55" s="154">
        <f t="shared" ref="S55:S86" si="11">SUM(Q55:R55)</f>
        <v>6260000</v>
      </c>
      <c r="T55" s="154">
        <v>0</v>
      </c>
      <c r="U55" s="154">
        <v>0</v>
      </c>
      <c r="V55" s="154">
        <v>-2288415</v>
      </c>
      <c r="W55" s="154"/>
      <c r="X55" s="154"/>
      <c r="Y55" s="154"/>
      <c r="Z55" s="154"/>
      <c r="AA55" s="154">
        <v>2288415</v>
      </c>
      <c r="AB55" s="153" t="s">
        <v>1499</v>
      </c>
      <c r="AC55" s="153">
        <v>810000</v>
      </c>
      <c r="AD55" s="154"/>
      <c r="AE55" s="154"/>
      <c r="AF55" s="154"/>
      <c r="AG55" s="154"/>
      <c r="AH55" s="154"/>
      <c r="AI55" s="154"/>
      <c r="AJ55" s="154"/>
      <c r="AK55" s="154"/>
      <c r="AL55" s="438"/>
      <c r="AM55" s="154">
        <v>0</v>
      </c>
      <c r="AN55" s="154">
        <v>0</v>
      </c>
      <c r="AO55" s="154">
        <v>0</v>
      </c>
      <c r="AP55" s="154"/>
      <c r="AQ55" s="154"/>
      <c r="AR55" s="154"/>
      <c r="AS55" s="154"/>
      <c r="AT55" s="154"/>
      <c r="AU55" s="154">
        <f t="shared" si="7"/>
        <v>0</v>
      </c>
      <c r="AV55" s="154"/>
      <c r="AW55" s="154"/>
      <c r="AX55" s="154"/>
      <c r="AY55" s="154"/>
      <c r="AZ55" s="154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</row>
    <row r="56" spans="1:68" ht="31.95" customHeight="1">
      <c r="A56" s="153">
        <f t="shared" si="8"/>
        <v>52</v>
      </c>
      <c r="B56" s="241">
        <v>2064</v>
      </c>
      <c r="C56" s="153" t="s">
        <v>224</v>
      </c>
      <c r="D56" s="154">
        <v>6281000</v>
      </c>
      <c r="E56" s="154">
        <v>6281000</v>
      </c>
      <c r="F56" s="154">
        <f t="shared" si="0"/>
        <v>0</v>
      </c>
      <c r="G56" s="154">
        <v>864000</v>
      </c>
      <c r="H56" s="154">
        <v>833705</v>
      </c>
      <c r="I56" s="154">
        <v>0</v>
      </c>
      <c r="J56" s="154">
        <v>0</v>
      </c>
      <c r="K56" s="154">
        <f t="shared" si="3"/>
        <v>0</v>
      </c>
      <c r="L56" s="154">
        <f t="shared" si="1"/>
        <v>833705</v>
      </c>
      <c r="M56" s="154">
        <f t="shared" si="4"/>
        <v>30295</v>
      </c>
      <c r="N56" s="154">
        <f>5417000-5417000</f>
        <v>0</v>
      </c>
      <c r="O56" s="154">
        <f t="shared" si="5"/>
        <v>5417000</v>
      </c>
      <c r="P56" s="154">
        <f t="shared" si="2"/>
        <v>30295</v>
      </c>
      <c r="Q56" s="154"/>
      <c r="R56" s="154"/>
      <c r="S56" s="154">
        <f t="shared" si="11"/>
        <v>0</v>
      </c>
      <c r="T56" s="154">
        <v>0</v>
      </c>
      <c r="U56" s="154">
        <v>0</v>
      </c>
      <c r="V56" s="154">
        <v>0</v>
      </c>
      <c r="W56" s="154"/>
      <c r="X56" s="154"/>
      <c r="Y56" s="154"/>
      <c r="Z56" s="154"/>
      <c r="AA56" s="153"/>
      <c r="AB56" s="153" t="s">
        <v>350</v>
      </c>
      <c r="AC56" s="153">
        <v>829000</v>
      </c>
      <c r="AD56" s="154"/>
      <c r="AE56" s="154"/>
      <c r="AF56" s="154"/>
      <c r="AG56" s="154"/>
      <c r="AH56" s="154"/>
      <c r="AI56" s="154"/>
      <c r="AJ56" s="154"/>
      <c r="AK56" s="154"/>
      <c r="AL56" s="438"/>
      <c r="AM56" s="154">
        <v>0</v>
      </c>
      <c r="AN56" s="154">
        <v>0</v>
      </c>
      <c r="AO56" s="154">
        <v>0</v>
      </c>
      <c r="AP56" s="154"/>
      <c r="AQ56" s="154"/>
      <c r="AR56" s="154"/>
      <c r="AS56" s="154"/>
      <c r="AT56" s="154"/>
      <c r="AU56" s="154">
        <f t="shared" si="7"/>
        <v>0</v>
      </c>
      <c r="AV56" s="154"/>
      <c r="AW56" s="154"/>
      <c r="AX56" s="154"/>
      <c r="AY56" s="154"/>
      <c r="AZ56" s="154"/>
    </row>
    <row r="57" spans="1:68" ht="31.95" customHeight="1">
      <c r="A57" s="153">
        <f t="shared" si="8"/>
        <v>53</v>
      </c>
      <c r="B57" s="241">
        <v>2073</v>
      </c>
      <c r="C57" s="245" t="s">
        <v>673</v>
      </c>
      <c r="D57" s="154">
        <v>11350000</v>
      </c>
      <c r="E57" s="154">
        <v>11350000</v>
      </c>
      <c r="F57" s="154">
        <f t="shared" si="0"/>
        <v>0</v>
      </c>
      <c r="G57" s="154">
        <v>850000</v>
      </c>
      <c r="H57" s="154">
        <v>31005</v>
      </c>
      <c r="I57" s="154">
        <v>0</v>
      </c>
      <c r="J57" s="154">
        <v>85995</v>
      </c>
      <c r="K57" s="154">
        <f t="shared" si="3"/>
        <v>85995</v>
      </c>
      <c r="L57" s="154">
        <f t="shared" si="1"/>
        <v>117000</v>
      </c>
      <c r="M57" s="154">
        <f t="shared" si="4"/>
        <v>1483000</v>
      </c>
      <c r="N57" s="154"/>
      <c r="O57" s="154">
        <f t="shared" si="5"/>
        <v>9750000</v>
      </c>
      <c r="P57" s="154">
        <f t="shared" si="2"/>
        <v>733000</v>
      </c>
      <c r="Q57" s="154">
        <v>750000</v>
      </c>
      <c r="R57" s="154"/>
      <c r="S57" s="154">
        <f t="shared" si="11"/>
        <v>750000</v>
      </c>
      <c r="T57" s="154">
        <v>0</v>
      </c>
      <c r="U57" s="154">
        <v>0</v>
      </c>
      <c r="V57" s="154">
        <v>0</v>
      </c>
      <c r="W57" s="154"/>
      <c r="X57" s="154"/>
      <c r="Y57" s="154"/>
      <c r="Z57" s="154"/>
      <c r="AA57" s="153"/>
      <c r="AB57" s="153" t="s">
        <v>993</v>
      </c>
      <c r="AC57" s="153">
        <v>829000</v>
      </c>
      <c r="AD57" s="154"/>
      <c r="AE57" s="154"/>
      <c r="AF57" s="154"/>
      <c r="AG57" s="154"/>
      <c r="AH57" s="154"/>
      <c r="AI57" s="154"/>
      <c r="AJ57" s="154"/>
      <c r="AK57" s="154"/>
      <c r="AL57" s="438"/>
      <c r="AM57" s="154">
        <v>0</v>
      </c>
      <c r="AN57" s="154">
        <v>0</v>
      </c>
      <c r="AO57" s="154">
        <v>0</v>
      </c>
      <c r="AP57" s="154"/>
      <c r="AQ57" s="154"/>
      <c r="AR57" s="154"/>
      <c r="AS57" s="154"/>
      <c r="AT57" s="154"/>
      <c r="AU57" s="154">
        <f t="shared" si="7"/>
        <v>0</v>
      </c>
      <c r="AV57" s="154"/>
      <c r="AW57" s="154"/>
      <c r="AX57" s="154"/>
      <c r="AY57" s="154"/>
      <c r="AZ57" s="154"/>
    </row>
    <row r="58" spans="1:68" ht="31.95" customHeight="1">
      <c r="A58" s="153">
        <f t="shared" si="8"/>
        <v>54</v>
      </c>
      <c r="B58" s="241">
        <v>2076</v>
      </c>
      <c r="C58" s="153" t="s">
        <v>276</v>
      </c>
      <c r="D58" s="154">
        <v>2350000</v>
      </c>
      <c r="E58" s="154">
        <v>2350000</v>
      </c>
      <c r="F58" s="154">
        <f t="shared" si="0"/>
        <v>0</v>
      </c>
      <c r="G58" s="154">
        <v>1450000</v>
      </c>
      <c r="H58" s="154">
        <v>35648</v>
      </c>
      <c r="I58" s="154">
        <v>0</v>
      </c>
      <c r="J58" s="154">
        <v>0</v>
      </c>
      <c r="K58" s="154">
        <f t="shared" si="3"/>
        <v>0</v>
      </c>
      <c r="L58" s="154">
        <f t="shared" si="1"/>
        <v>35648</v>
      </c>
      <c r="M58" s="154">
        <f t="shared" si="4"/>
        <v>1414352</v>
      </c>
      <c r="N58" s="154"/>
      <c r="O58" s="154">
        <f t="shared" si="5"/>
        <v>900000</v>
      </c>
      <c r="P58" s="154">
        <f t="shared" si="2"/>
        <v>1414352</v>
      </c>
      <c r="Q58" s="154"/>
      <c r="R58" s="154"/>
      <c r="S58" s="154">
        <f t="shared" si="11"/>
        <v>0</v>
      </c>
      <c r="T58" s="154">
        <v>0</v>
      </c>
      <c r="U58" s="154">
        <v>0</v>
      </c>
      <c r="V58" s="154">
        <v>0</v>
      </c>
      <c r="W58" s="154"/>
      <c r="X58" s="154"/>
      <c r="Y58" s="154"/>
      <c r="Z58" s="154"/>
      <c r="AA58" s="153"/>
      <c r="AB58" s="153" t="s">
        <v>316</v>
      </c>
      <c r="AC58" s="153">
        <v>850000</v>
      </c>
      <c r="AD58" s="154"/>
      <c r="AE58" s="154"/>
      <c r="AF58" s="154"/>
      <c r="AG58" s="154"/>
      <c r="AH58" s="154"/>
      <c r="AI58" s="154"/>
      <c r="AJ58" s="154"/>
      <c r="AK58" s="154"/>
      <c r="AL58" s="438"/>
      <c r="AM58" s="154">
        <v>0</v>
      </c>
      <c r="AN58" s="154">
        <v>0</v>
      </c>
      <c r="AO58" s="154">
        <v>0</v>
      </c>
      <c r="AP58" s="154"/>
      <c r="AQ58" s="154"/>
      <c r="AR58" s="154"/>
      <c r="AS58" s="154"/>
      <c r="AT58" s="154"/>
      <c r="AU58" s="154">
        <f t="shared" si="7"/>
        <v>0</v>
      </c>
      <c r="AV58" s="154"/>
      <c r="AW58" s="154"/>
      <c r="AX58" s="154"/>
      <c r="AY58" s="154"/>
      <c r="AZ58" s="154"/>
    </row>
    <row r="59" spans="1:68" s="5" customFormat="1" ht="31.95" customHeight="1">
      <c r="A59" s="153">
        <f t="shared" si="8"/>
        <v>55</v>
      </c>
      <c r="B59" s="3">
        <v>2078</v>
      </c>
      <c r="C59" s="3" t="s">
        <v>262</v>
      </c>
      <c r="D59" s="4">
        <v>4200000</v>
      </c>
      <c r="E59" s="4">
        <v>4200000</v>
      </c>
      <c r="F59" s="154">
        <f t="shared" si="0"/>
        <v>0</v>
      </c>
      <c r="G59" s="4">
        <v>1960000</v>
      </c>
      <c r="H59" s="4">
        <v>157316</v>
      </c>
      <c r="I59" s="4">
        <v>0</v>
      </c>
      <c r="J59" s="4">
        <v>0</v>
      </c>
      <c r="K59" s="154">
        <f t="shared" si="3"/>
        <v>0</v>
      </c>
      <c r="L59" s="154">
        <f t="shared" si="1"/>
        <v>157316</v>
      </c>
      <c r="M59" s="154">
        <f t="shared" si="4"/>
        <v>1802684</v>
      </c>
      <c r="N59" s="154"/>
      <c r="O59" s="154">
        <f t="shared" si="5"/>
        <v>2240000</v>
      </c>
      <c r="P59" s="154">
        <f t="shared" si="2"/>
        <v>1802684</v>
      </c>
      <c r="Q59" s="154"/>
      <c r="R59" s="154"/>
      <c r="S59" s="154">
        <f t="shared" si="11"/>
        <v>0</v>
      </c>
      <c r="T59" s="154">
        <v>0</v>
      </c>
      <c r="U59" s="154">
        <v>0</v>
      </c>
      <c r="V59" s="154">
        <v>0</v>
      </c>
      <c r="W59" s="154"/>
      <c r="X59" s="154"/>
      <c r="Y59" s="154"/>
      <c r="Z59" s="154"/>
      <c r="AA59" s="153"/>
      <c r="AB59" s="3" t="s">
        <v>348</v>
      </c>
      <c r="AC59" s="3">
        <v>742000</v>
      </c>
      <c r="AD59" s="154"/>
      <c r="AE59" s="154"/>
      <c r="AF59" s="154"/>
      <c r="AG59" s="154"/>
      <c r="AH59" s="154"/>
      <c r="AI59" s="154"/>
      <c r="AJ59" s="154"/>
      <c r="AK59" s="154"/>
      <c r="AL59" s="438"/>
      <c r="AM59" s="154">
        <v>0</v>
      </c>
      <c r="AN59" s="154">
        <v>0</v>
      </c>
      <c r="AO59" s="154">
        <v>0</v>
      </c>
      <c r="AP59" s="154"/>
      <c r="AQ59" s="154"/>
      <c r="AR59" s="154"/>
      <c r="AS59" s="154"/>
      <c r="AT59" s="154"/>
      <c r="AU59" s="154">
        <f t="shared" si="7"/>
        <v>0</v>
      </c>
      <c r="AV59" s="154"/>
      <c r="AW59" s="154"/>
      <c r="AX59" s="154"/>
      <c r="AY59" s="154"/>
      <c r="AZ59" s="154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</row>
    <row r="60" spans="1:68" ht="31.95" customHeight="1">
      <c r="A60" s="153">
        <f t="shared" si="8"/>
        <v>56</v>
      </c>
      <c r="B60" s="28">
        <v>2079</v>
      </c>
      <c r="C60" s="153" t="s">
        <v>277</v>
      </c>
      <c r="D60" s="154">
        <v>3100000</v>
      </c>
      <c r="E60" s="154">
        <v>3100000</v>
      </c>
      <c r="F60" s="154">
        <f t="shared" si="0"/>
        <v>0</v>
      </c>
      <c r="G60" s="154">
        <f>1300000+400000</f>
        <v>1700000</v>
      </c>
      <c r="H60" s="154">
        <v>762647</v>
      </c>
      <c r="I60" s="154">
        <v>0</v>
      </c>
      <c r="J60" s="154">
        <v>64605</v>
      </c>
      <c r="K60" s="154">
        <f t="shared" si="3"/>
        <v>64605</v>
      </c>
      <c r="L60" s="154">
        <f t="shared" si="1"/>
        <v>827252</v>
      </c>
      <c r="M60" s="154">
        <f t="shared" si="4"/>
        <v>2272748</v>
      </c>
      <c r="N60" s="154"/>
      <c r="O60" s="154">
        <f t="shared" si="5"/>
        <v>0</v>
      </c>
      <c r="P60" s="154">
        <f t="shared" si="2"/>
        <v>872748</v>
      </c>
      <c r="Q60" s="154">
        <f>1800000-400000</f>
        <v>1400000</v>
      </c>
      <c r="R60" s="154"/>
      <c r="S60" s="154">
        <f t="shared" si="11"/>
        <v>1400000</v>
      </c>
      <c r="T60" s="154">
        <v>0</v>
      </c>
      <c r="U60" s="154">
        <v>0</v>
      </c>
      <c r="V60" s="154">
        <v>0</v>
      </c>
      <c r="W60" s="154"/>
      <c r="X60" s="154"/>
      <c r="Y60" s="154"/>
      <c r="Z60" s="154"/>
      <c r="AA60" s="153"/>
      <c r="AB60" s="242" t="s">
        <v>650</v>
      </c>
      <c r="AC60" s="153">
        <v>840000</v>
      </c>
      <c r="AD60" s="154"/>
      <c r="AE60" s="154"/>
      <c r="AF60" s="154"/>
      <c r="AG60" s="154"/>
      <c r="AH60" s="154"/>
      <c r="AI60" s="154"/>
      <c r="AJ60" s="154"/>
      <c r="AK60" s="154"/>
      <c r="AL60" s="438"/>
      <c r="AM60" s="154">
        <v>0</v>
      </c>
      <c r="AN60" s="154">
        <v>0</v>
      </c>
      <c r="AO60" s="154">
        <v>0</v>
      </c>
      <c r="AP60" s="154"/>
      <c r="AQ60" s="154"/>
      <c r="AR60" s="154"/>
      <c r="AS60" s="154"/>
      <c r="AT60" s="154"/>
      <c r="AU60" s="154">
        <f t="shared" si="7"/>
        <v>0</v>
      </c>
      <c r="AV60" s="154"/>
      <c r="AW60" s="154"/>
      <c r="AX60" s="154"/>
      <c r="AY60" s="154"/>
      <c r="AZ60" s="154"/>
    </row>
    <row r="61" spans="1:68" ht="31.95" customHeight="1">
      <c r="A61" s="153">
        <f t="shared" si="8"/>
        <v>57</v>
      </c>
      <c r="B61" s="28">
        <v>2097</v>
      </c>
      <c r="C61" s="153" t="s">
        <v>278</v>
      </c>
      <c r="D61" s="154">
        <v>79000000</v>
      </c>
      <c r="E61" s="154">
        <v>79000000</v>
      </c>
      <c r="F61" s="154">
        <f t="shared" si="0"/>
        <v>0</v>
      </c>
      <c r="G61" s="154">
        <v>6000000</v>
      </c>
      <c r="H61" s="154">
        <v>2255166</v>
      </c>
      <c r="I61" s="154">
        <v>0</v>
      </c>
      <c r="J61" s="154">
        <v>2267861</v>
      </c>
      <c r="K61" s="154">
        <f t="shared" si="3"/>
        <v>2267861</v>
      </c>
      <c r="L61" s="154">
        <f t="shared" si="1"/>
        <v>4523027</v>
      </c>
      <c r="M61" s="154">
        <f t="shared" si="4"/>
        <v>1476973</v>
      </c>
      <c r="N61" s="154">
        <f>40000000-40000000</f>
        <v>0</v>
      </c>
      <c r="O61" s="154">
        <f t="shared" si="5"/>
        <v>73000000</v>
      </c>
      <c r="P61" s="154">
        <f t="shared" si="2"/>
        <v>1476973</v>
      </c>
      <c r="Q61" s="154"/>
      <c r="R61" s="154"/>
      <c r="S61" s="154">
        <f t="shared" si="11"/>
        <v>0</v>
      </c>
      <c r="T61" s="154">
        <v>0</v>
      </c>
      <c r="U61" s="154">
        <v>0</v>
      </c>
      <c r="V61" s="154">
        <v>0</v>
      </c>
      <c r="W61" s="154"/>
      <c r="X61" s="154"/>
      <c r="Y61" s="154"/>
      <c r="Z61" s="154"/>
      <c r="AA61" s="154">
        <v>0</v>
      </c>
      <c r="AB61" s="245" t="s">
        <v>1500</v>
      </c>
      <c r="AC61" s="153">
        <v>810000</v>
      </c>
      <c r="AD61" s="154"/>
      <c r="AE61" s="154"/>
      <c r="AF61" s="154"/>
      <c r="AG61" s="154"/>
      <c r="AH61" s="154"/>
      <c r="AI61" s="154"/>
      <c r="AJ61" s="154"/>
      <c r="AK61" s="154"/>
      <c r="AL61" s="438"/>
      <c r="AM61" s="154">
        <v>0</v>
      </c>
      <c r="AN61" s="154">
        <v>0</v>
      </c>
      <c r="AO61" s="154">
        <v>0</v>
      </c>
      <c r="AP61" s="154"/>
      <c r="AQ61" s="154"/>
      <c r="AR61" s="154"/>
      <c r="AS61" s="154"/>
      <c r="AT61" s="154"/>
      <c r="AU61" s="154">
        <f t="shared" si="7"/>
        <v>0</v>
      </c>
      <c r="AV61" s="154"/>
      <c r="AW61" s="154"/>
      <c r="AX61" s="154"/>
      <c r="AY61" s="154"/>
      <c r="AZ61" s="154"/>
    </row>
    <row r="62" spans="1:68" ht="31.95" customHeight="1">
      <c r="A62" s="153">
        <f t="shared" si="8"/>
        <v>58</v>
      </c>
      <c r="B62" s="28">
        <v>2099</v>
      </c>
      <c r="C62" s="153" t="s">
        <v>279</v>
      </c>
      <c r="D62" s="154">
        <v>12000000</v>
      </c>
      <c r="E62" s="154">
        <v>12000000</v>
      </c>
      <c r="F62" s="154">
        <f t="shared" si="0"/>
        <v>0</v>
      </c>
      <c r="G62" s="154">
        <v>750000</v>
      </c>
      <c r="H62" s="154">
        <v>415222</v>
      </c>
      <c r="I62" s="154">
        <v>0</v>
      </c>
      <c r="J62" s="154">
        <v>228705</v>
      </c>
      <c r="K62" s="154">
        <f t="shared" si="3"/>
        <v>228705</v>
      </c>
      <c r="L62" s="154">
        <f t="shared" si="1"/>
        <v>643927</v>
      </c>
      <c r="M62" s="154">
        <f t="shared" si="4"/>
        <v>1106073</v>
      </c>
      <c r="N62" s="154">
        <f>8250000+2000000-1000000</f>
        <v>9250000</v>
      </c>
      <c r="O62" s="154">
        <f t="shared" si="5"/>
        <v>1000000</v>
      </c>
      <c r="P62" s="154">
        <f t="shared" si="2"/>
        <v>106073</v>
      </c>
      <c r="Q62" s="154">
        <f>3000000-2000000</f>
        <v>1000000</v>
      </c>
      <c r="R62" s="154"/>
      <c r="S62" s="154">
        <f t="shared" si="11"/>
        <v>1000000</v>
      </c>
      <c r="T62" s="154">
        <v>0</v>
      </c>
      <c r="U62" s="154">
        <v>9250000</v>
      </c>
      <c r="V62" s="154">
        <v>7250000</v>
      </c>
      <c r="W62" s="154"/>
      <c r="X62" s="154"/>
      <c r="Y62" s="154"/>
      <c r="Z62" s="154"/>
      <c r="AA62" s="154">
        <v>2000000</v>
      </c>
      <c r="AB62" s="259" t="s">
        <v>651</v>
      </c>
      <c r="AC62" s="153">
        <v>826000</v>
      </c>
      <c r="AD62" s="154"/>
      <c r="AE62" s="154"/>
      <c r="AF62" s="154">
        <v>1250000</v>
      </c>
      <c r="AG62" s="154"/>
      <c r="AH62" s="154"/>
      <c r="AI62" s="154"/>
      <c r="AJ62" s="154"/>
      <c r="AK62" s="154">
        <v>3250000</v>
      </c>
      <c r="AL62" s="438">
        <v>4750000</v>
      </c>
      <c r="AM62" s="154">
        <v>9250000</v>
      </c>
      <c r="AN62" s="154">
        <v>0</v>
      </c>
      <c r="AO62" s="154">
        <v>7250000</v>
      </c>
      <c r="AP62" s="154"/>
      <c r="AQ62" s="154"/>
      <c r="AR62" s="154"/>
      <c r="AS62" s="154"/>
      <c r="AT62" s="154">
        <v>2000000</v>
      </c>
      <c r="AU62" s="154">
        <f t="shared" si="7"/>
        <v>4750000</v>
      </c>
      <c r="AV62" s="154"/>
      <c r="AW62" s="154"/>
      <c r="AX62" s="154"/>
      <c r="AY62" s="154"/>
      <c r="AZ62" s="154"/>
    </row>
    <row r="63" spans="1:68" ht="31.95" customHeight="1">
      <c r="A63" s="153">
        <f t="shared" si="8"/>
        <v>59</v>
      </c>
      <c r="B63" s="28">
        <v>2101</v>
      </c>
      <c r="C63" s="153" t="s">
        <v>495</v>
      </c>
      <c r="D63" s="154">
        <v>24200000</v>
      </c>
      <c r="E63" s="154">
        <v>24200000</v>
      </c>
      <c r="F63" s="154">
        <f t="shared" si="0"/>
        <v>0</v>
      </c>
      <c r="G63" s="154">
        <v>1500000</v>
      </c>
      <c r="H63" s="154">
        <v>14882</v>
      </c>
      <c r="I63" s="154">
        <v>0</v>
      </c>
      <c r="J63" s="154">
        <v>202773</v>
      </c>
      <c r="K63" s="154">
        <f t="shared" si="3"/>
        <v>202773</v>
      </c>
      <c r="L63" s="154">
        <f t="shared" si="1"/>
        <v>217655</v>
      </c>
      <c r="M63" s="154">
        <f t="shared" si="4"/>
        <v>1282345</v>
      </c>
      <c r="N63" s="154"/>
      <c r="O63" s="154">
        <f t="shared" si="5"/>
        <v>22700000</v>
      </c>
      <c r="P63" s="154">
        <f t="shared" si="2"/>
        <v>1282345</v>
      </c>
      <c r="Q63" s="154"/>
      <c r="R63" s="154"/>
      <c r="S63" s="154">
        <f t="shared" si="11"/>
        <v>0</v>
      </c>
      <c r="T63" s="154">
        <v>0</v>
      </c>
      <c r="U63" s="154">
        <v>0</v>
      </c>
      <c r="V63" s="154">
        <v>0</v>
      </c>
      <c r="W63" s="154"/>
      <c r="X63" s="154"/>
      <c r="Y63" s="154"/>
      <c r="Z63" s="154"/>
      <c r="AA63" s="153"/>
      <c r="AB63" s="259" t="s">
        <v>470</v>
      </c>
      <c r="AC63" s="153">
        <v>840000</v>
      </c>
      <c r="AD63" s="154"/>
      <c r="AE63" s="154"/>
      <c r="AF63" s="154"/>
      <c r="AG63" s="154"/>
      <c r="AH63" s="154"/>
      <c r="AI63" s="154"/>
      <c r="AJ63" s="154"/>
      <c r="AK63" s="154"/>
      <c r="AL63" s="438"/>
      <c r="AM63" s="154">
        <v>0</v>
      </c>
      <c r="AN63" s="154">
        <v>0</v>
      </c>
      <c r="AO63" s="154">
        <v>0</v>
      </c>
      <c r="AP63" s="154"/>
      <c r="AQ63" s="154"/>
      <c r="AR63" s="154"/>
      <c r="AS63" s="154"/>
      <c r="AT63" s="154"/>
      <c r="AU63" s="154">
        <f t="shared" si="7"/>
        <v>0</v>
      </c>
      <c r="AV63" s="154"/>
      <c r="AW63" s="154"/>
      <c r="AX63" s="154"/>
      <c r="AY63" s="154"/>
      <c r="AZ63" s="154"/>
    </row>
    <row r="64" spans="1:68" ht="31.95" customHeight="1">
      <c r="A64" s="153">
        <f t="shared" si="8"/>
        <v>60</v>
      </c>
      <c r="B64" s="28">
        <v>2102</v>
      </c>
      <c r="C64" s="153" t="s">
        <v>1215</v>
      </c>
      <c r="D64" s="154">
        <v>1750000</v>
      </c>
      <c r="E64" s="154">
        <v>1750000</v>
      </c>
      <c r="F64" s="154">
        <f t="shared" si="0"/>
        <v>0</v>
      </c>
      <c r="G64" s="154">
        <v>150000</v>
      </c>
      <c r="H64" s="154">
        <v>122473</v>
      </c>
      <c r="I64" s="154">
        <v>0</v>
      </c>
      <c r="J64" s="154">
        <v>0</v>
      </c>
      <c r="K64" s="154">
        <f t="shared" si="3"/>
        <v>0</v>
      </c>
      <c r="L64" s="154">
        <f t="shared" si="1"/>
        <v>122473</v>
      </c>
      <c r="M64" s="154">
        <f t="shared" si="4"/>
        <v>27527</v>
      </c>
      <c r="N64" s="154">
        <f>1600000-1600000</f>
        <v>0</v>
      </c>
      <c r="O64" s="154">
        <f t="shared" si="5"/>
        <v>1600000</v>
      </c>
      <c r="P64" s="154">
        <f t="shared" si="2"/>
        <v>27527</v>
      </c>
      <c r="Q64" s="154"/>
      <c r="R64" s="154"/>
      <c r="S64" s="154">
        <f t="shared" si="11"/>
        <v>0</v>
      </c>
      <c r="T64" s="154">
        <v>0</v>
      </c>
      <c r="U64" s="154">
        <v>0</v>
      </c>
      <c r="V64" s="154">
        <v>0</v>
      </c>
      <c r="W64" s="154"/>
      <c r="X64" s="154"/>
      <c r="Y64" s="154"/>
      <c r="Z64" s="154"/>
      <c r="AA64" s="153"/>
      <c r="AB64" s="245" t="s">
        <v>601</v>
      </c>
      <c r="AC64" s="153">
        <v>820000</v>
      </c>
      <c r="AD64" s="154"/>
      <c r="AE64" s="154"/>
      <c r="AF64" s="154"/>
      <c r="AG64" s="154"/>
      <c r="AH64" s="154"/>
      <c r="AI64" s="154"/>
      <c r="AJ64" s="154"/>
      <c r="AK64" s="154"/>
      <c r="AL64" s="438"/>
      <c r="AM64" s="154">
        <v>0</v>
      </c>
      <c r="AN64" s="154">
        <v>0</v>
      </c>
      <c r="AO64" s="154">
        <v>0</v>
      </c>
      <c r="AP64" s="154"/>
      <c r="AQ64" s="154"/>
      <c r="AR64" s="154"/>
      <c r="AS64" s="154"/>
      <c r="AT64" s="154"/>
      <c r="AU64" s="154">
        <f t="shared" si="7"/>
        <v>0</v>
      </c>
      <c r="AV64" s="154"/>
      <c r="AW64" s="154"/>
      <c r="AX64" s="154"/>
      <c r="AY64" s="154"/>
      <c r="AZ64" s="154"/>
    </row>
    <row r="65" spans="1:68" ht="31.95" customHeight="1">
      <c r="A65" s="153">
        <f t="shared" si="8"/>
        <v>61</v>
      </c>
      <c r="B65" s="28">
        <v>2103</v>
      </c>
      <c r="C65" s="153" t="s">
        <v>315</v>
      </c>
      <c r="D65" s="154">
        <f>2500000+1700000</f>
        <v>4200000</v>
      </c>
      <c r="E65" s="154">
        <v>2500000</v>
      </c>
      <c r="F65" s="154">
        <f t="shared" si="0"/>
        <v>1700000</v>
      </c>
      <c r="G65" s="154">
        <v>1000000</v>
      </c>
      <c r="H65" s="154">
        <v>317595</v>
      </c>
      <c r="I65" s="154">
        <v>0</v>
      </c>
      <c r="J65" s="154">
        <v>532970</v>
      </c>
      <c r="K65" s="154">
        <f t="shared" ref="K65:K86" si="12">SUM(I65:J65)</f>
        <v>532970</v>
      </c>
      <c r="L65" s="154">
        <f t="shared" si="1"/>
        <v>850565</v>
      </c>
      <c r="M65" s="154">
        <f t="shared" si="4"/>
        <v>149435</v>
      </c>
      <c r="N65" s="154">
        <f>3200000-1700000</f>
        <v>1500000</v>
      </c>
      <c r="O65" s="154">
        <f t="shared" si="5"/>
        <v>1700000</v>
      </c>
      <c r="P65" s="154">
        <f t="shared" si="2"/>
        <v>149435</v>
      </c>
      <c r="Q65" s="154"/>
      <c r="R65" s="154"/>
      <c r="S65" s="154">
        <f t="shared" si="11"/>
        <v>0</v>
      </c>
      <c r="T65" s="154">
        <v>0</v>
      </c>
      <c r="U65" s="154">
        <v>1500000</v>
      </c>
      <c r="V65" s="154">
        <v>0</v>
      </c>
      <c r="W65" s="154">
        <v>1500000</v>
      </c>
      <c r="X65" s="154"/>
      <c r="Y65" s="154"/>
      <c r="Z65" s="154"/>
      <c r="AA65" s="153"/>
      <c r="AB65" s="245" t="s">
        <v>742</v>
      </c>
      <c r="AC65" s="153">
        <v>848000</v>
      </c>
      <c r="AD65" s="154"/>
      <c r="AE65" s="154"/>
      <c r="AF65" s="154"/>
      <c r="AG65" s="154"/>
      <c r="AH65" s="154"/>
      <c r="AI65" s="154"/>
      <c r="AJ65" s="154"/>
      <c r="AK65" s="154"/>
      <c r="AL65" s="438"/>
      <c r="AM65" s="154">
        <v>0</v>
      </c>
      <c r="AN65" s="154">
        <v>1500000</v>
      </c>
      <c r="AO65" s="154">
        <v>0</v>
      </c>
      <c r="AP65" s="154">
        <v>0</v>
      </c>
      <c r="AQ65" s="154"/>
      <c r="AR65" s="154"/>
      <c r="AS65" s="154"/>
      <c r="AT65" s="154"/>
      <c r="AU65" s="154">
        <f t="shared" si="7"/>
        <v>0</v>
      </c>
      <c r="AV65" s="154">
        <f>AQ65</f>
        <v>0</v>
      </c>
      <c r="AW65" s="154"/>
      <c r="AX65" s="154"/>
      <c r="AY65" s="154"/>
      <c r="AZ65" s="154"/>
    </row>
    <row r="66" spans="1:68" s="6" customFormat="1" ht="31.95" customHeight="1">
      <c r="A66" s="153">
        <f t="shared" si="8"/>
        <v>62</v>
      </c>
      <c r="B66" s="28">
        <v>2106</v>
      </c>
      <c r="C66" s="3" t="s">
        <v>390</v>
      </c>
      <c r="D66" s="4">
        <v>15000000</v>
      </c>
      <c r="E66" s="4">
        <v>15000000</v>
      </c>
      <c r="F66" s="154">
        <f t="shared" si="0"/>
        <v>0</v>
      </c>
      <c r="G66" s="4">
        <v>4000000</v>
      </c>
      <c r="H66" s="4">
        <v>241447</v>
      </c>
      <c r="I66" s="4">
        <v>0</v>
      </c>
      <c r="J66" s="4">
        <v>528653</v>
      </c>
      <c r="K66" s="154">
        <f t="shared" si="12"/>
        <v>528653</v>
      </c>
      <c r="L66" s="154">
        <f t="shared" si="1"/>
        <v>770100</v>
      </c>
      <c r="M66" s="154">
        <f t="shared" si="4"/>
        <v>3229900</v>
      </c>
      <c r="N66" s="154"/>
      <c r="O66" s="154">
        <f t="shared" si="5"/>
        <v>11000000</v>
      </c>
      <c r="P66" s="154">
        <f t="shared" si="2"/>
        <v>3229900</v>
      </c>
      <c r="Q66" s="154"/>
      <c r="R66" s="154"/>
      <c r="S66" s="154">
        <f t="shared" si="11"/>
        <v>0</v>
      </c>
      <c r="T66" s="154">
        <v>0</v>
      </c>
      <c r="U66" s="154">
        <v>0</v>
      </c>
      <c r="V66" s="154">
        <v>0</v>
      </c>
      <c r="W66" s="154"/>
      <c r="X66" s="154"/>
      <c r="Y66" s="154"/>
      <c r="Z66" s="154"/>
      <c r="AA66" s="153"/>
      <c r="AB66" s="245" t="s">
        <v>602</v>
      </c>
      <c r="AC66" s="3">
        <v>742000</v>
      </c>
      <c r="AD66" s="154"/>
      <c r="AE66" s="154"/>
      <c r="AF66" s="154"/>
      <c r="AG66" s="154"/>
      <c r="AH66" s="154"/>
      <c r="AI66" s="154"/>
      <c r="AJ66" s="154"/>
      <c r="AK66" s="154"/>
      <c r="AL66" s="438"/>
      <c r="AM66" s="154">
        <v>0</v>
      </c>
      <c r="AN66" s="154">
        <v>0</v>
      </c>
      <c r="AO66" s="154">
        <v>0</v>
      </c>
      <c r="AP66" s="154"/>
      <c r="AQ66" s="154"/>
      <c r="AR66" s="154"/>
      <c r="AS66" s="154"/>
      <c r="AT66" s="154"/>
      <c r="AU66" s="154">
        <f t="shared" si="7"/>
        <v>0</v>
      </c>
      <c r="AV66" s="154"/>
      <c r="AW66" s="154"/>
      <c r="AX66" s="154"/>
      <c r="AY66" s="154"/>
      <c r="AZ66" s="154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47"/>
    </row>
    <row r="67" spans="1:68" s="5" customFormat="1" ht="31.95" customHeight="1">
      <c r="A67" s="153">
        <f t="shared" si="8"/>
        <v>63</v>
      </c>
      <c r="B67" s="28">
        <v>2109</v>
      </c>
      <c r="C67" s="3" t="s">
        <v>263</v>
      </c>
      <c r="D67" s="4">
        <v>2000000</v>
      </c>
      <c r="E67" s="4">
        <v>2000000</v>
      </c>
      <c r="F67" s="154">
        <f t="shared" si="0"/>
        <v>0</v>
      </c>
      <c r="G67" s="4">
        <v>150000</v>
      </c>
      <c r="H67" s="4">
        <v>18976</v>
      </c>
      <c r="I67" s="4">
        <v>0</v>
      </c>
      <c r="J67" s="4">
        <v>103781</v>
      </c>
      <c r="K67" s="154">
        <f t="shared" si="12"/>
        <v>103781</v>
      </c>
      <c r="L67" s="154">
        <f t="shared" si="1"/>
        <v>122757</v>
      </c>
      <c r="M67" s="154">
        <f t="shared" si="4"/>
        <v>377243</v>
      </c>
      <c r="N67" s="154">
        <f>1500000-600000-200000</f>
        <v>700000</v>
      </c>
      <c r="O67" s="154">
        <f t="shared" si="5"/>
        <v>800000</v>
      </c>
      <c r="P67" s="154">
        <f t="shared" si="2"/>
        <v>27243</v>
      </c>
      <c r="Q67" s="154">
        <v>350000</v>
      </c>
      <c r="R67" s="154"/>
      <c r="S67" s="154">
        <f t="shared" si="11"/>
        <v>350000</v>
      </c>
      <c r="T67" s="154">
        <v>0</v>
      </c>
      <c r="U67" s="154">
        <v>700000</v>
      </c>
      <c r="V67" s="154">
        <v>700000</v>
      </c>
      <c r="W67" s="154"/>
      <c r="X67" s="154"/>
      <c r="Y67" s="154"/>
      <c r="Z67" s="154"/>
      <c r="AA67" s="153"/>
      <c r="AB67" s="3" t="s">
        <v>1473</v>
      </c>
      <c r="AC67" s="3">
        <v>742000</v>
      </c>
      <c r="AD67" s="154"/>
      <c r="AE67" s="154"/>
      <c r="AF67" s="154"/>
      <c r="AG67" s="154"/>
      <c r="AH67" s="154"/>
      <c r="AI67" s="154"/>
      <c r="AJ67" s="154"/>
      <c r="AK67" s="154"/>
      <c r="AL67" s="438">
        <v>350000</v>
      </c>
      <c r="AM67" s="154">
        <v>350000</v>
      </c>
      <c r="AN67" s="154">
        <v>350000</v>
      </c>
      <c r="AO67" s="154">
        <v>350000</v>
      </c>
      <c r="AP67" s="154"/>
      <c r="AQ67" s="154"/>
      <c r="AR67" s="154"/>
      <c r="AS67" s="154"/>
      <c r="AT67" s="154"/>
      <c r="AU67" s="154">
        <f t="shared" si="7"/>
        <v>350000</v>
      </c>
      <c r="AV67" s="154"/>
      <c r="AW67" s="154"/>
      <c r="AX67" s="154"/>
      <c r="AY67" s="154"/>
      <c r="AZ67" s="154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</row>
    <row r="68" spans="1:68" s="5" customFormat="1" ht="31.95" customHeight="1">
      <c r="A68" s="153">
        <f t="shared" si="8"/>
        <v>64</v>
      </c>
      <c r="B68" s="28">
        <v>2110</v>
      </c>
      <c r="C68" s="3" t="s">
        <v>264</v>
      </c>
      <c r="D68" s="4">
        <v>16000000</v>
      </c>
      <c r="E68" s="4">
        <v>16000000</v>
      </c>
      <c r="F68" s="154">
        <f t="shared" si="0"/>
        <v>0</v>
      </c>
      <c r="G68" s="4">
        <v>100000</v>
      </c>
      <c r="H68" s="4">
        <v>0</v>
      </c>
      <c r="I68" s="4">
        <v>0</v>
      </c>
      <c r="J68" s="4">
        <v>0</v>
      </c>
      <c r="K68" s="154">
        <f t="shared" si="12"/>
        <v>0</v>
      </c>
      <c r="L68" s="154">
        <f t="shared" si="1"/>
        <v>0</v>
      </c>
      <c r="M68" s="154">
        <f t="shared" si="4"/>
        <v>200000</v>
      </c>
      <c r="N68" s="154"/>
      <c r="O68" s="154">
        <f t="shared" si="5"/>
        <v>15800000</v>
      </c>
      <c r="P68" s="154">
        <f t="shared" si="2"/>
        <v>100000</v>
      </c>
      <c r="Q68" s="154">
        <v>100000</v>
      </c>
      <c r="R68" s="154"/>
      <c r="S68" s="154">
        <f t="shared" si="11"/>
        <v>100000</v>
      </c>
      <c r="T68" s="154">
        <v>0</v>
      </c>
      <c r="U68" s="154">
        <v>0</v>
      </c>
      <c r="V68" s="154">
        <v>0</v>
      </c>
      <c r="W68" s="154"/>
      <c r="X68" s="154"/>
      <c r="Y68" s="154"/>
      <c r="Z68" s="154"/>
      <c r="AA68" s="153"/>
      <c r="AB68" s="3" t="s">
        <v>652</v>
      </c>
      <c r="AC68" s="3">
        <v>742000</v>
      </c>
      <c r="AD68" s="154"/>
      <c r="AE68" s="154"/>
      <c r="AF68" s="154"/>
      <c r="AG68" s="154"/>
      <c r="AH68" s="154"/>
      <c r="AI68" s="154"/>
      <c r="AJ68" s="154"/>
      <c r="AK68" s="154"/>
      <c r="AL68" s="438"/>
      <c r="AM68" s="154">
        <v>0</v>
      </c>
      <c r="AN68" s="154">
        <v>0</v>
      </c>
      <c r="AO68" s="154">
        <v>0</v>
      </c>
      <c r="AP68" s="154"/>
      <c r="AQ68" s="154"/>
      <c r="AR68" s="154"/>
      <c r="AS68" s="154"/>
      <c r="AT68" s="154"/>
      <c r="AU68" s="154">
        <f t="shared" si="7"/>
        <v>0</v>
      </c>
      <c r="AV68" s="154"/>
      <c r="AW68" s="154"/>
      <c r="AX68" s="154"/>
      <c r="AY68" s="154"/>
      <c r="AZ68" s="154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7"/>
      <c r="BN68" s="147"/>
      <c r="BO68" s="147"/>
      <c r="BP68" s="147"/>
    </row>
    <row r="69" spans="1:68" s="5" customFormat="1" ht="31.95" customHeight="1">
      <c r="A69" s="153">
        <f t="shared" si="8"/>
        <v>65</v>
      </c>
      <c r="B69" s="28">
        <v>2111</v>
      </c>
      <c r="C69" s="3" t="s">
        <v>265</v>
      </c>
      <c r="D69" s="4">
        <f>10240000+4960000</f>
        <v>15200000</v>
      </c>
      <c r="E69" s="4">
        <v>10240000</v>
      </c>
      <c r="F69" s="154">
        <f t="shared" ref="F69:F111" si="13">D69-E69</f>
        <v>4960000</v>
      </c>
      <c r="G69" s="4">
        <v>100000</v>
      </c>
      <c r="H69" s="4">
        <v>0</v>
      </c>
      <c r="I69" s="4">
        <v>0</v>
      </c>
      <c r="J69" s="4">
        <v>0</v>
      </c>
      <c r="K69" s="154">
        <f t="shared" si="12"/>
        <v>0</v>
      </c>
      <c r="L69" s="154">
        <f t="shared" ref="L69:L101" si="14">K69+H69</f>
        <v>0</v>
      </c>
      <c r="M69" s="154">
        <f t="shared" si="4"/>
        <v>200000</v>
      </c>
      <c r="N69" s="154">
        <f>10040000-2540000-7200000</f>
        <v>300000</v>
      </c>
      <c r="O69" s="154">
        <f t="shared" si="5"/>
        <v>14700000</v>
      </c>
      <c r="P69" s="154">
        <f t="shared" ref="P69:P127" si="15">G69-L69</f>
        <v>100000</v>
      </c>
      <c r="Q69" s="154">
        <v>100000</v>
      </c>
      <c r="R69" s="154"/>
      <c r="S69" s="154">
        <f t="shared" si="11"/>
        <v>100000</v>
      </c>
      <c r="T69" s="154">
        <v>0</v>
      </c>
      <c r="U69" s="154">
        <v>300000</v>
      </c>
      <c r="V69" s="154">
        <v>300000</v>
      </c>
      <c r="W69" s="154"/>
      <c r="X69" s="154"/>
      <c r="Y69" s="154"/>
      <c r="Z69" s="154"/>
      <c r="AA69" s="153"/>
      <c r="AB69" s="232" t="s">
        <v>603</v>
      </c>
      <c r="AC69" s="3">
        <v>742000</v>
      </c>
      <c r="AD69" s="154"/>
      <c r="AE69" s="154"/>
      <c r="AF69" s="154"/>
      <c r="AG69" s="154"/>
      <c r="AH69" s="154"/>
      <c r="AI69" s="154"/>
      <c r="AJ69" s="154"/>
      <c r="AK69" s="154"/>
      <c r="AL69" s="438"/>
      <c r="AM69" s="154">
        <v>0</v>
      </c>
      <c r="AN69" s="154">
        <v>300000</v>
      </c>
      <c r="AO69" s="154">
        <v>0</v>
      </c>
      <c r="AP69" s="154"/>
      <c r="AQ69" s="154"/>
      <c r="AR69" s="154"/>
      <c r="AS69" s="154"/>
      <c r="AT69" s="154"/>
      <c r="AU69" s="154">
        <f t="shared" si="7"/>
        <v>0</v>
      </c>
      <c r="AV69" s="154"/>
      <c r="AW69" s="154"/>
      <c r="AX69" s="154"/>
      <c r="AY69" s="154"/>
      <c r="AZ69" s="154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</row>
    <row r="70" spans="1:68" s="6" customFormat="1" ht="31.95" customHeight="1">
      <c r="A70" s="153">
        <f t="shared" si="8"/>
        <v>66</v>
      </c>
      <c r="B70" s="28">
        <v>2115</v>
      </c>
      <c r="C70" s="3" t="s">
        <v>267</v>
      </c>
      <c r="D70" s="4">
        <v>3100000</v>
      </c>
      <c r="E70" s="4">
        <v>3100000</v>
      </c>
      <c r="F70" s="154">
        <f t="shared" si="13"/>
        <v>0</v>
      </c>
      <c r="G70" s="4">
        <v>2000000</v>
      </c>
      <c r="H70" s="4">
        <v>1139002</v>
      </c>
      <c r="I70" s="4">
        <v>0</v>
      </c>
      <c r="J70" s="4">
        <v>102262</v>
      </c>
      <c r="K70" s="154">
        <f t="shared" si="12"/>
        <v>102262</v>
      </c>
      <c r="L70" s="154">
        <f t="shared" si="14"/>
        <v>1241264</v>
      </c>
      <c r="M70" s="154">
        <f t="shared" ref="M70:M111" si="16">P70+S70</f>
        <v>1858736</v>
      </c>
      <c r="N70" s="154"/>
      <c r="O70" s="154">
        <f t="shared" ref="O70:O111" si="17">D70-L70-M70-N70</f>
        <v>0</v>
      </c>
      <c r="P70" s="154">
        <f t="shared" si="15"/>
        <v>758736</v>
      </c>
      <c r="Q70" s="154">
        <v>1100000</v>
      </c>
      <c r="R70" s="154"/>
      <c r="S70" s="154">
        <f t="shared" si="11"/>
        <v>1100000</v>
      </c>
      <c r="T70" s="154">
        <v>0</v>
      </c>
      <c r="U70" s="154">
        <v>0</v>
      </c>
      <c r="V70" s="154">
        <v>0</v>
      </c>
      <c r="W70" s="154"/>
      <c r="X70" s="154"/>
      <c r="Y70" s="154"/>
      <c r="Z70" s="154"/>
      <c r="AA70" s="153"/>
      <c r="AB70" s="3" t="s">
        <v>1474</v>
      </c>
      <c r="AC70" s="3">
        <v>732000</v>
      </c>
      <c r="AD70" s="154"/>
      <c r="AE70" s="154"/>
      <c r="AF70" s="154"/>
      <c r="AG70" s="154"/>
      <c r="AH70" s="154"/>
      <c r="AI70" s="154"/>
      <c r="AJ70" s="154"/>
      <c r="AK70" s="154"/>
      <c r="AL70" s="438"/>
      <c r="AM70" s="154">
        <v>0</v>
      </c>
      <c r="AN70" s="154">
        <v>0</v>
      </c>
      <c r="AO70" s="154">
        <v>0</v>
      </c>
      <c r="AP70" s="154"/>
      <c r="AQ70" s="154"/>
      <c r="AR70" s="154"/>
      <c r="AS70" s="154"/>
      <c r="AT70" s="154"/>
      <c r="AU70" s="154">
        <f t="shared" ref="AU70:AU111" si="18">AL70-AV70-AX70-AY70-AZ70</f>
        <v>0</v>
      </c>
      <c r="AV70" s="154"/>
      <c r="AW70" s="154"/>
      <c r="AX70" s="154"/>
      <c r="AY70" s="154"/>
      <c r="AZ70" s="154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7"/>
      <c r="BN70" s="147"/>
      <c r="BO70" s="147"/>
      <c r="BP70" s="147"/>
    </row>
    <row r="71" spans="1:68" s="6" customFormat="1" ht="31.95" customHeight="1">
      <c r="A71" s="153">
        <f t="shared" ref="A71:A111" si="19">A70+1</f>
        <v>67</v>
      </c>
      <c r="B71" s="28">
        <v>2118</v>
      </c>
      <c r="C71" s="3" t="s">
        <v>268</v>
      </c>
      <c r="D71" s="4">
        <v>2600000</v>
      </c>
      <c r="E71" s="4">
        <v>2600000</v>
      </c>
      <c r="F71" s="154">
        <f t="shared" si="13"/>
        <v>0</v>
      </c>
      <c r="G71" s="4">
        <v>2600000</v>
      </c>
      <c r="H71" s="4">
        <v>2020883</v>
      </c>
      <c r="I71" s="4">
        <v>0</v>
      </c>
      <c r="J71" s="4">
        <v>214849</v>
      </c>
      <c r="K71" s="154">
        <f t="shared" si="12"/>
        <v>214849</v>
      </c>
      <c r="L71" s="154">
        <f t="shared" si="14"/>
        <v>2235732</v>
      </c>
      <c r="M71" s="154">
        <f t="shared" si="16"/>
        <v>364268</v>
      </c>
      <c r="N71" s="154"/>
      <c r="O71" s="154">
        <f t="shared" si="17"/>
        <v>0</v>
      </c>
      <c r="P71" s="154">
        <f t="shared" si="15"/>
        <v>364268</v>
      </c>
      <c r="Q71" s="154"/>
      <c r="R71" s="154"/>
      <c r="S71" s="154">
        <f t="shared" si="11"/>
        <v>0</v>
      </c>
      <c r="T71" s="154">
        <v>0</v>
      </c>
      <c r="U71" s="154">
        <v>0</v>
      </c>
      <c r="V71" s="154">
        <v>0</v>
      </c>
      <c r="W71" s="154"/>
      <c r="X71" s="154"/>
      <c r="Y71" s="154"/>
      <c r="Z71" s="154"/>
      <c r="AA71" s="153"/>
      <c r="AB71" s="233" t="s">
        <v>539</v>
      </c>
      <c r="AC71" s="3">
        <v>746000</v>
      </c>
      <c r="AD71" s="154"/>
      <c r="AE71" s="154"/>
      <c r="AF71" s="154"/>
      <c r="AG71" s="154"/>
      <c r="AH71" s="154"/>
      <c r="AI71" s="154"/>
      <c r="AJ71" s="154"/>
      <c r="AK71" s="154"/>
      <c r="AL71" s="438"/>
      <c r="AM71" s="154">
        <v>0</v>
      </c>
      <c r="AN71" s="154">
        <v>0</v>
      </c>
      <c r="AO71" s="154">
        <v>0</v>
      </c>
      <c r="AP71" s="154"/>
      <c r="AQ71" s="154"/>
      <c r="AR71" s="154"/>
      <c r="AS71" s="154"/>
      <c r="AT71" s="154"/>
      <c r="AU71" s="154">
        <f t="shared" si="18"/>
        <v>0</v>
      </c>
      <c r="AV71" s="154"/>
      <c r="AW71" s="154"/>
      <c r="AX71" s="154"/>
      <c r="AY71" s="154"/>
      <c r="AZ71" s="154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7"/>
    </row>
    <row r="72" spans="1:68" s="5" customFormat="1" ht="31.95" customHeight="1">
      <c r="A72" s="153">
        <f t="shared" si="19"/>
        <v>68</v>
      </c>
      <c r="B72" s="28">
        <v>2119</v>
      </c>
      <c r="C72" s="3" t="s">
        <v>269</v>
      </c>
      <c r="D72" s="4">
        <v>2500000</v>
      </c>
      <c r="E72" s="4">
        <v>2500000</v>
      </c>
      <c r="F72" s="154">
        <f t="shared" si="13"/>
        <v>0</v>
      </c>
      <c r="G72" s="4">
        <v>1100000</v>
      </c>
      <c r="H72" s="4">
        <v>110870</v>
      </c>
      <c r="I72" s="4">
        <v>0</v>
      </c>
      <c r="J72" s="4">
        <v>0</v>
      </c>
      <c r="K72" s="154">
        <f t="shared" si="12"/>
        <v>0</v>
      </c>
      <c r="L72" s="154">
        <f t="shared" si="14"/>
        <v>110870</v>
      </c>
      <c r="M72" s="154">
        <f t="shared" si="16"/>
        <v>989130</v>
      </c>
      <c r="N72" s="154">
        <f>1400000-1400000</f>
        <v>0</v>
      </c>
      <c r="O72" s="154">
        <f t="shared" si="17"/>
        <v>1400000</v>
      </c>
      <c r="P72" s="154">
        <f t="shared" si="15"/>
        <v>989130</v>
      </c>
      <c r="Q72" s="154"/>
      <c r="R72" s="154"/>
      <c r="S72" s="154">
        <f t="shared" si="11"/>
        <v>0</v>
      </c>
      <c r="T72" s="154">
        <v>0</v>
      </c>
      <c r="U72" s="154">
        <v>0</v>
      </c>
      <c r="V72" s="154">
        <v>0</v>
      </c>
      <c r="W72" s="154"/>
      <c r="X72" s="154"/>
      <c r="Y72" s="154"/>
      <c r="Z72" s="154"/>
      <c r="AA72" s="153"/>
      <c r="AB72" s="3" t="s">
        <v>270</v>
      </c>
      <c r="AC72" s="3">
        <v>742000</v>
      </c>
      <c r="AD72" s="154"/>
      <c r="AE72" s="154"/>
      <c r="AF72" s="154"/>
      <c r="AG72" s="154"/>
      <c r="AH72" s="154"/>
      <c r="AI72" s="154"/>
      <c r="AJ72" s="154"/>
      <c r="AK72" s="154"/>
      <c r="AL72" s="438"/>
      <c r="AM72" s="154">
        <v>0</v>
      </c>
      <c r="AN72" s="154">
        <v>0</v>
      </c>
      <c r="AO72" s="154">
        <v>0</v>
      </c>
      <c r="AP72" s="154"/>
      <c r="AQ72" s="154"/>
      <c r="AR72" s="154"/>
      <c r="AS72" s="154"/>
      <c r="AT72" s="154"/>
      <c r="AU72" s="154">
        <f t="shared" si="18"/>
        <v>0</v>
      </c>
      <c r="AV72" s="154"/>
      <c r="AW72" s="154"/>
      <c r="AX72" s="154"/>
      <c r="AY72" s="154"/>
      <c r="AZ72" s="154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  <c r="BO72" s="147"/>
      <c r="BP72" s="147"/>
    </row>
    <row r="73" spans="1:68" s="5" customFormat="1" ht="31.95" customHeight="1">
      <c r="A73" s="153">
        <f t="shared" si="19"/>
        <v>69</v>
      </c>
      <c r="B73" s="28">
        <v>2126</v>
      </c>
      <c r="C73" s="3" t="s">
        <v>405</v>
      </c>
      <c r="D73" s="4">
        <v>1975000</v>
      </c>
      <c r="E73" s="4">
        <v>1975000</v>
      </c>
      <c r="F73" s="154">
        <f t="shared" si="13"/>
        <v>0</v>
      </c>
      <c r="G73" s="4">
        <v>0</v>
      </c>
      <c r="H73" s="4">
        <v>0</v>
      </c>
      <c r="I73" s="4">
        <v>0</v>
      </c>
      <c r="J73" s="4">
        <v>0</v>
      </c>
      <c r="K73" s="154">
        <f t="shared" si="12"/>
        <v>0</v>
      </c>
      <c r="L73" s="154">
        <f t="shared" si="14"/>
        <v>0</v>
      </c>
      <c r="M73" s="154">
        <f t="shared" si="16"/>
        <v>0</v>
      </c>
      <c r="N73" s="154"/>
      <c r="O73" s="154">
        <f t="shared" si="17"/>
        <v>1975000</v>
      </c>
      <c r="P73" s="154">
        <f t="shared" si="15"/>
        <v>0</v>
      </c>
      <c r="Q73" s="154"/>
      <c r="R73" s="154"/>
      <c r="S73" s="154">
        <f t="shared" si="11"/>
        <v>0</v>
      </c>
      <c r="T73" s="154">
        <v>0</v>
      </c>
      <c r="U73" s="154">
        <v>0</v>
      </c>
      <c r="V73" s="154">
        <v>0</v>
      </c>
      <c r="W73" s="154"/>
      <c r="X73" s="154"/>
      <c r="Y73" s="154"/>
      <c r="Z73" s="154"/>
      <c r="AA73" s="153"/>
      <c r="AB73" s="3" t="s">
        <v>604</v>
      </c>
      <c r="AC73" s="3">
        <v>742000</v>
      </c>
      <c r="AD73" s="154"/>
      <c r="AE73" s="154"/>
      <c r="AF73" s="154"/>
      <c r="AG73" s="154"/>
      <c r="AH73" s="154"/>
      <c r="AI73" s="154"/>
      <c r="AJ73" s="154"/>
      <c r="AK73" s="154"/>
      <c r="AL73" s="438"/>
      <c r="AM73" s="154">
        <v>0</v>
      </c>
      <c r="AN73" s="154">
        <v>0</v>
      </c>
      <c r="AO73" s="154">
        <v>0</v>
      </c>
      <c r="AP73" s="154"/>
      <c r="AQ73" s="154"/>
      <c r="AR73" s="154"/>
      <c r="AS73" s="154"/>
      <c r="AT73" s="154"/>
      <c r="AU73" s="154">
        <f t="shared" si="18"/>
        <v>0</v>
      </c>
      <c r="AV73" s="154"/>
      <c r="AW73" s="154"/>
      <c r="AX73" s="154"/>
      <c r="AY73" s="154"/>
      <c r="AZ73" s="154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47"/>
    </row>
    <row r="74" spans="1:68" s="6" customFormat="1" ht="31.95" customHeight="1">
      <c r="A74" s="153">
        <f t="shared" si="19"/>
        <v>70</v>
      </c>
      <c r="B74" s="28">
        <v>2127</v>
      </c>
      <c r="C74" s="3" t="s">
        <v>406</v>
      </c>
      <c r="D74" s="4">
        <v>2259000</v>
      </c>
      <c r="E74" s="4">
        <v>2259000</v>
      </c>
      <c r="F74" s="154">
        <f t="shared" si="13"/>
        <v>0</v>
      </c>
      <c r="G74" s="4">
        <v>1000000</v>
      </c>
      <c r="H74" s="4">
        <v>252909</v>
      </c>
      <c r="I74" s="4">
        <v>0</v>
      </c>
      <c r="J74" s="4">
        <v>746171</v>
      </c>
      <c r="K74" s="154">
        <f t="shared" si="12"/>
        <v>746171</v>
      </c>
      <c r="L74" s="154">
        <f t="shared" si="14"/>
        <v>999080</v>
      </c>
      <c r="M74" s="154">
        <f t="shared" si="16"/>
        <v>920</v>
      </c>
      <c r="N74" s="154">
        <v>1259000</v>
      </c>
      <c r="O74" s="154">
        <f t="shared" si="17"/>
        <v>0</v>
      </c>
      <c r="P74" s="154">
        <f t="shared" si="15"/>
        <v>920</v>
      </c>
      <c r="Q74" s="154">
        <f>1259000-1259000</f>
        <v>0</v>
      </c>
      <c r="R74" s="154"/>
      <c r="S74" s="154">
        <f t="shared" si="11"/>
        <v>0</v>
      </c>
      <c r="T74" s="154">
        <v>0</v>
      </c>
      <c r="U74" s="154">
        <v>1259000</v>
      </c>
      <c r="V74" s="154">
        <v>0</v>
      </c>
      <c r="W74" s="154"/>
      <c r="X74" s="154"/>
      <c r="Y74" s="154"/>
      <c r="Z74" s="154"/>
      <c r="AA74" s="154">
        <v>1259000</v>
      </c>
      <c r="AB74" s="3" t="s">
        <v>818</v>
      </c>
      <c r="AC74" s="3">
        <v>747000</v>
      </c>
      <c r="AD74" s="154"/>
      <c r="AE74" s="154"/>
      <c r="AF74" s="154"/>
      <c r="AG74" s="154"/>
      <c r="AH74" s="154"/>
      <c r="AI74" s="154"/>
      <c r="AJ74" s="154"/>
      <c r="AK74" s="154"/>
      <c r="AL74" s="438"/>
      <c r="AM74" s="154">
        <v>0</v>
      </c>
      <c r="AN74" s="154">
        <v>1259000</v>
      </c>
      <c r="AO74" s="154">
        <v>0</v>
      </c>
      <c r="AP74" s="154"/>
      <c r="AQ74" s="154"/>
      <c r="AR74" s="154"/>
      <c r="AS74" s="154"/>
      <c r="AT74" s="154">
        <v>0</v>
      </c>
      <c r="AU74" s="154">
        <f t="shared" si="18"/>
        <v>0</v>
      </c>
      <c r="AV74" s="154"/>
      <c r="AW74" s="154"/>
      <c r="AX74" s="154"/>
      <c r="AY74" s="154"/>
      <c r="AZ74" s="154">
        <f>AQ74</f>
        <v>0</v>
      </c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47"/>
    </row>
    <row r="75" spans="1:68" s="6" customFormat="1" ht="31.95" customHeight="1">
      <c r="A75" s="153">
        <f t="shared" si="19"/>
        <v>71</v>
      </c>
      <c r="B75" s="28">
        <v>2130</v>
      </c>
      <c r="C75" s="3" t="s">
        <v>420</v>
      </c>
      <c r="D75" s="4">
        <v>500000</v>
      </c>
      <c r="E75" s="4">
        <v>500000</v>
      </c>
      <c r="F75" s="154">
        <f t="shared" si="13"/>
        <v>0</v>
      </c>
      <c r="G75" s="4">
        <v>500000</v>
      </c>
      <c r="H75" s="4">
        <v>7441</v>
      </c>
      <c r="I75" s="4">
        <v>0</v>
      </c>
      <c r="J75" s="4">
        <v>0</v>
      </c>
      <c r="K75" s="154">
        <f t="shared" si="12"/>
        <v>0</v>
      </c>
      <c r="L75" s="154">
        <f t="shared" si="14"/>
        <v>7441</v>
      </c>
      <c r="M75" s="154">
        <f t="shared" si="16"/>
        <v>492559</v>
      </c>
      <c r="N75" s="154"/>
      <c r="O75" s="154">
        <f t="shared" si="17"/>
        <v>0</v>
      </c>
      <c r="P75" s="154">
        <f t="shared" si="15"/>
        <v>492559</v>
      </c>
      <c r="Q75" s="154"/>
      <c r="R75" s="154"/>
      <c r="S75" s="154">
        <f t="shared" si="11"/>
        <v>0</v>
      </c>
      <c r="T75" s="154">
        <v>0</v>
      </c>
      <c r="U75" s="154">
        <v>0</v>
      </c>
      <c r="V75" s="154">
        <v>0</v>
      </c>
      <c r="W75" s="154"/>
      <c r="X75" s="154"/>
      <c r="Y75" s="154"/>
      <c r="Z75" s="154"/>
      <c r="AA75" s="153"/>
      <c r="AB75" s="3" t="s">
        <v>624</v>
      </c>
      <c r="AC75" s="3">
        <v>810000</v>
      </c>
      <c r="AD75" s="154"/>
      <c r="AE75" s="154"/>
      <c r="AF75" s="154"/>
      <c r="AG75" s="154"/>
      <c r="AH75" s="154"/>
      <c r="AI75" s="154"/>
      <c r="AJ75" s="154"/>
      <c r="AK75" s="154"/>
      <c r="AL75" s="438"/>
      <c r="AM75" s="154">
        <v>0</v>
      </c>
      <c r="AN75" s="154">
        <v>0</v>
      </c>
      <c r="AO75" s="154">
        <v>0</v>
      </c>
      <c r="AP75" s="154"/>
      <c r="AQ75" s="154"/>
      <c r="AR75" s="154"/>
      <c r="AS75" s="154"/>
      <c r="AT75" s="154"/>
      <c r="AU75" s="154">
        <f t="shared" si="18"/>
        <v>0</v>
      </c>
      <c r="AV75" s="154"/>
      <c r="AW75" s="154"/>
      <c r="AX75" s="154"/>
      <c r="AY75" s="154"/>
      <c r="AZ75" s="154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  <c r="BP75" s="147"/>
    </row>
    <row r="76" spans="1:68" s="5" customFormat="1" ht="31.95" customHeight="1">
      <c r="A76" s="153">
        <f t="shared" si="19"/>
        <v>72</v>
      </c>
      <c r="B76" s="28">
        <v>2147</v>
      </c>
      <c r="C76" s="3" t="s">
        <v>994</v>
      </c>
      <c r="D76" s="4">
        <f>6500000-1000000</f>
        <v>5500000</v>
      </c>
      <c r="E76" s="4">
        <v>6500000</v>
      </c>
      <c r="F76" s="154">
        <f t="shared" si="13"/>
        <v>-1000000</v>
      </c>
      <c r="G76" s="4">
        <v>6500000</v>
      </c>
      <c r="H76" s="4">
        <v>4570582</v>
      </c>
      <c r="I76" s="4">
        <v>0</v>
      </c>
      <c r="J76" s="4">
        <v>383745</v>
      </c>
      <c r="K76" s="154">
        <f t="shared" si="12"/>
        <v>383745</v>
      </c>
      <c r="L76" s="154">
        <f t="shared" si="14"/>
        <v>4954327</v>
      </c>
      <c r="M76" s="154">
        <f>P76+S76-1000000</f>
        <v>545673</v>
      </c>
      <c r="N76" s="154"/>
      <c r="O76" s="154">
        <f t="shared" si="17"/>
        <v>0</v>
      </c>
      <c r="P76" s="154">
        <f t="shared" si="15"/>
        <v>1545673</v>
      </c>
      <c r="Q76" s="154"/>
      <c r="R76" s="154"/>
      <c r="S76" s="154">
        <f t="shared" si="11"/>
        <v>0</v>
      </c>
      <c r="T76" s="154">
        <v>1000000</v>
      </c>
      <c r="U76" s="154">
        <v>-1000000</v>
      </c>
      <c r="V76" s="154">
        <v>-1000000</v>
      </c>
      <c r="W76" s="154"/>
      <c r="X76" s="154"/>
      <c r="Y76" s="154"/>
      <c r="Z76" s="154"/>
      <c r="AA76" s="153"/>
      <c r="AB76" s="3" t="s">
        <v>1501</v>
      </c>
      <c r="AC76" s="3">
        <v>810000</v>
      </c>
      <c r="AD76" s="154"/>
      <c r="AE76" s="154"/>
      <c r="AF76" s="154">
        <v>-1000000</v>
      </c>
      <c r="AG76" s="154"/>
      <c r="AH76" s="154"/>
      <c r="AI76" s="154"/>
      <c r="AJ76" s="154"/>
      <c r="AK76" s="154"/>
      <c r="AL76" s="438"/>
      <c r="AM76" s="154">
        <v>-1000000</v>
      </c>
      <c r="AN76" s="154">
        <v>0</v>
      </c>
      <c r="AO76" s="154">
        <v>-1000000</v>
      </c>
      <c r="AP76" s="154"/>
      <c r="AQ76" s="154"/>
      <c r="AR76" s="154"/>
      <c r="AS76" s="154"/>
      <c r="AT76" s="154"/>
      <c r="AU76" s="154">
        <f t="shared" si="18"/>
        <v>0</v>
      </c>
      <c r="AV76" s="154"/>
      <c r="AW76" s="154"/>
      <c r="AX76" s="154"/>
      <c r="AY76" s="154"/>
      <c r="AZ76" s="154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7"/>
    </row>
    <row r="77" spans="1:68" s="5" customFormat="1" ht="31.95" customHeight="1">
      <c r="A77" s="153">
        <f t="shared" si="19"/>
        <v>73</v>
      </c>
      <c r="B77" s="28">
        <v>2149</v>
      </c>
      <c r="C77" s="28" t="s">
        <v>856</v>
      </c>
      <c r="D77" s="4">
        <v>2000000</v>
      </c>
      <c r="E77" s="4">
        <v>2000000</v>
      </c>
      <c r="F77" s="154">
        <f t="shared" si="13"/>
        <v>0</v>
      </c>
      <c r="G77" s="4">
        <v>2000000</v>
      </c>
      <c r="H77" s="4">
        <v>348809</v>
      </c>
      <c r="I77" s="4">
        <v>0</v>
      </c>
      <c r="J77" s="4">
        <v>148526</v>
      </c>
      <c r="K77" s="154">
        <f t="shared" si="12"/>
        <v>148526</v>
      </c>
      <c r="L77" s="154">
        <f t="shared" si="14"/>
        <v>497335</v>
      </c>
      <c r="M77" s="154">
        <f t="shared" si="16"/>
        <v>1502665</v>
      </c>
      <c r="N77" s="154"/>
      <c r="O77" s="154">
        <f t="shared" si="17"/>
        <v>0</v>
      </c>
      <c r="P77" s="154">
        <f t="shared" si="15"/>
        <v>1502665</v>
      </c>
      <c r="Q77" s="154"/>
      <c r="R77" s="154"/>
      <c r="S77" s="154">
        <f t="shared" si="11"/>
        <v>0</v>
      </c>
      <c r="T77" s="154">
        <v>0</v>
      </c>
      <c r="U77" s="154">
        <v>0</v>
      </c>
      <c r="V77" s="154">
        <v>0</v>
      </c>
      <c r="W77" s="154"/>
      <c r="X77" s="154"/>
      <c r="Y77" s="154"/>
      <c r="Z77" s="154"/>
      <c r="AA77" s="153"/>
      <c r="AB77" s="3" t="s">
        <v>861</v>
      </c>
      <c r="AC77" s="3">
        <v>810000</v>
      </c>
      <c r="AD77" s="154"/>
      <c r="AE77" s="154"/>
      <c r="AF77" s="154"/>
      <c r="AG77" s="154"/>
      <c r="AH77" s="154"/>
      <c r="AI77" s="154"/>
      <c r="AJ77" s="154"/>
      <c r="AK77" s="154"/>
      <c r="AL77" s="438"/>
      <c r="AM77" s="154">
        <v>0</v>
      </c>
      <c r="AN77" s="154">
        <v>0</v>
      </c>
      <c r="AO77" s="154">
        <v>0</v>
      </c>
      <c r="AP77" s="154"/>
      <c r="AQ77" s="154"/>
      <c r="AR77" s="154"/>
      <c r="AS77" s="154"/>
      <c r="AT77" s="154"/>
      <c r="AU77" s="154">
        <f t="shared" si="18"/>
        <v>0</v>
      </c>
      <c r="AV77" s="154"/>
      <c r="AW77" s="154"/>
      <c r="AX77" s="154"/>
      <c r="AY77" s="154"/>
      <c r="AZ77" s="154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47"/>
    </row>
    <row r="78" spans="1:68" s="5" customFormat="1" ht="31.95" customHeight="1">
      <c r="A78" s="153">
        <f t="shared" si="19"/>
        <v>74</v>
      </c>
      <c r="B78" s="28">
        <v>2150</v>
      </c>
      <c r="C78" s="28" t="s">
        <v>674</v>
      </c>
      <c r="D78" s="4">
        <v>23500000</v>
      </c>
      <c r="E78" s="4">
        <v>23500000</v>
      </c>
      <c r="F78" s="154">
        <f t="shared" si="13"/>
        <v>0</v>
      </c>
      <c r="G78" s="4">
        <v>1100000</v>
      </c>
      <c r="H78" s="4">
        <v>542641</v>
      </c>
      <c r="I78" s="4">
        <v>0</v>
      </c>
      <c r="J78" s="4">
        <v>171823</v>
      </c>
      <c r="K78" s="154">
        <f t="shared" si="12"/>
        <v>171823</v>
      </c>
      <c r="L78" s="154">
        <f t="shared" si="14"/>
        <v>714464</v>
      </c>
      <c r="M78" s="154">
        <f t="shared" si="16"/>
        <v>9435536</v>
      </c>
      <c r="N78" s="154">
        <f>13350000-3350000-1000000</f>
        <v>9000000</v>
      </c>
      <c r="O78" s="154">
        <f t="shared" si="17"/>
        <v>4350000</v>
      </c>
      <c r="P78" s="154">
        <f t="shared" si="15"/>
        <v>385536</v>
      </c>
      <c r="Q78" s="154">
        <v>9050000</v>
      </c>
      <c r="R78" s="154"/>
      <c r="S78" s="154">
        <f t="shared" si="11"/>
        <v>9050000</v>
      </c>
      <c r="T78" s="154">
        <v>0</v>
      </c>
      <c r="U78" s="154">
        <v>9000000</v>
      </c>
      <c r="V78" s="154">
        <v>9000000</v>
      </c>
      <c r="W78" s="154"/>
      <c r="X78" s="154"/>
      <c r="Y78" s="154"/>
      <c r="Z78" s="154"/>
      <c r="AA78" s="153"/>
      <c r="AB78" s="28" t="s">
        <v>585</v>
      </c>
      <c r="AC78" s="3">
        <v>746000</v>
      </c>
      <c r="AD78" s="154"/>
      <c r="AE78" s="154"/>
      <c r="AF78" s="154"/>
      <c r="AG78" s="154"/>
      <c r="AH78" s="154"/>
      <c r="AI78" s="154"/>
      <c r="AJ78" s="154">
        <v>1500000</v>
      </c>
      <c r="AK78" s="154">
        <v>1500000</v>
      </c>
      <c r="AL78" s="438">
        <v>1350000</v>
      </c>
      <c r="AM78" s="154">
        <v>4350000</v>
      </c>
      <c r="AN78" s="154">
        <v>4650000</v>
      </c>
      <c r="AO78" s="154">
        <v>4350000</v>
      </c>
      <c r="AP78" s="154"/>
      <c r="AQ78" s="154"/>
      <c r="AR78" s="154"/>
      <c r="AS78" s="154"/>
      <c r="AT78" s="154"/>
      <c r="AU78" s="154">
        <f t="shared" si="18"/>
        <v>1350000</v>
      </c>
      <c r="AV78" s="154"/>
      <c r="AW78" s="154"/>
      <c r="AX78" s="154"/>
      <c r="AY78" s="154"/>
      <c r="AZ78" s="154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7"/>
      <c r="BN78" s="147"/>
      <c r="BO78" s="147"/>
      <c r="BP78" s="147"/>
    </row>
    <row r="79" spans="1:68" s="5" customFormat="1" ht="31.95" customHeight="1">
      <c r="A79" s="153">
        <f t="shared" si="19"/>
        <v>75</v>
      </c>
      <c r="B79" s="28">
        <v>2151</v>
      </c>
      <c r="C79" s="3" t="s">
        <v>424</v>
      </c>
      <c r="D79" s="4">
        <v>54000000</v>
      </c>
      <c r="E79" s="4">
        <v>54000000</v>
      </c>
      <c r="F79" s="154">
        <f t="shared" si="13"/>
        <v>0</v>
      </c>
      <c r="G79" s="4">
        <v>2000000</v>
      </c>
      <c r="H79" s="4">
        <v>698439</v>
      </c>
      <c r="I79" s="4">
        <v>0</v>
      </c>
      <c r="J79" s="4">
        <v>975479</v>
      </c>
      <c r="K79" s="154">
        <f t="shared" si="12"/>
        <v>975479</v>
      </c>
      <c r="L79" s="154">
        <f t="shared" si="14"/>
        <v>1673918</v>
      </c>
      <c r="M79" s="154">
        <f t="shared" si="16"/>
        <v>3326082</v>
      </c>
      <c r="N79" s="154">
        <f>30000000-15000000-15000000</f>
        <v>0</v>
      </c>
      <c r="O79" s="154">
        <f t="shared" si="17"/>
        <v>49000000</v>
      </c>
      <c r="P79" s="154">
        <f t="shared" si="15"/>
        <v>326082</v>
      </c>
      <c r="Q79" s="154">
        <v>3000000</v>
      </c>
      <c r="R79" s="154"/>
      <c r="S79" s="154">
        <f t="shared" si="11"/>
        <v>3000000</v>
      </c>
      <c r="T79" s="154">
        <v>0</v>
      </c>
      <c r="U79" s="154">
        <v>0</v>
      </c>
      <c r="V79" s="154">
        <v>0</v>
      </c>
      <c r="W79" s="154"/>
      <c r="X79" s="154"/>
      <c r="Y79" s="154"/>
      <c r="Z79" s="154"/>
      <c r="AA79" s="153"/>
      <c r="AB79" s="28" t="s">
        <v>787</v>
      </c>
      <c r="AC79" s="3">
        <v>742000</v>
      </c>
      <c r="AD79" s="154"/>
      <c r="AE79" s="154"/>
      <c r="AF79" s="154"/>
      <c r="AG79" s="154"/>
      <c r="AH79" s="154"/>
      <c r="AI79" s="154"/>
      <c r="AJ79" s="154"/>
      <c r="AK79" s="154"/>
      <c r="AL79" s="438"/>
      <c r="AM79" s="154">
        <v>0</v>
      </c>
      <c r="AN79" s="154">
        <v>0</v>
      </c>
      <c r="AO79" s="154">
        <v>0</v>
      </c>
      <c r="AP79" s="154"/>
      <c r="AQ79" s="154"/>
      <c r="AR79" s="154"/>
      <c r="AS79" s="154"/>
      <c r="AT79" s="154"/>
      <c r="AU79" s="154">
        <f t="shared" si="18"/>
        <v>0</v>
      </c>
      <c r="AV79" s="154"/>
      <c r="AW79" s="154"/>
      <c r="AX79" s="154"/>
      <c r="AY79" s="154"/>
      <c r="AZ79" s="154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47"/>
    </row>
    <row r="80" spans="1:68" s="5" customFormat="1" ht="31.95" customHeight="1">
      <c r="A80" s="153">
        <f t="shared" si="19"/>
        <v>76</v>
      </c>
      <c r="B80" s="28">
        <v>2152</v>
      </c>
      <c r="C80" s="3" t="s">
        <v>425</v>
      </c>
      <c r="D80" s="4">
        <f>16000000+4000000-4000000</f>
        <v>16000000</v>
      </c>
      <c r="E80" s="4">
        <v>16000000</v>
      </c>
      <c r="F80" s="154">
        <f t="shared" si="13"/>
        <v>0</v>
      </c>
      <c r="G80" s="4">
        <v>1000000</v>
      </c>
      <c r="H80" s="4">
        <v>252607</v>
      </c>
      <c r="I80" s="4">
        <v>0</v>
      </c>
      <c r="J80" s="4">
        <v>146060</v>
      </c>
      <c r="K80" s="154">
        <f t="shared" si="12"/>
        <v>146060</v>
      </c>
      <c r="L80" s="154">
        <f t="shared" si="14"/>
        <v>398667</v>
      </c>
      <c r="M80" s="154">
        <f t="shared" si="16"/>
        <v>651333</v>
      </c>
      <c r="N80" s="154">
        <f>10000000-2000000-1000000</f>
        <v>7000000</v>
      </c>
      <c r="O80" s="154">
        <f t="shared" si="17"/>
        <v>7950000</v>
      </c>
      <c r="P80" s="154">
        <f t="shared" si="15"/>
        <v>601333</v>
      </c>
      <c r="Q80" s="154">
        <v>50000</v>
      </c>
      <c r="R80" s="154"/>
      <c r="S80" s="154">
        <f t="shared" si="11"/>
        <v>50000</v>
      </c>
      <c r="T80" s="154">
        <v>0</v>
      </c>
      <c r="U80" s="154">
        <v>7000000</v>
      </c>
      <c r="V80" s="154">
        <v>3405695</v>
      </c>
      <c r="W80" s="154"/>
      <c r="X80" s="154"/>
      <c r="Y80" s="154"/>
      <c r="Z80" s="154"/>
      <c r="AA80" s="154">
        <v>3594305</v>
      </c>
      <c r="AB80" s="28" t="s">
        <v>744</v>
      </c>
      <c r="AC80" s="3">
        <v>810000</v>
      </c>
      <c r="AD80" s="154"/>
      <c r="AE80" s="154"/>
      <c r="AF80" s="154"/>
      <c r="AG80" s="154"/>
      <c r="AH80" s="154"/>
      <c r="AI80" s="154"/>
      <c r="AJ80" s="154"/>
      <c r="AK80" s="486">
        <v>281810</v>
      </c>
      <c r="AL80" s="438"/>
      <c r="AM80" s="154">
        <v>281810</v>
      </c>
      <c r="AN80" s="154">
        <v>6718190</v>
      </c>
      <c r="AO80" s="154">
        <v>0</v>
      </c>
      <c r="AP80" s="154"/>
      <c r="AQ80" s="154"/>
      <c r="AR80" s="154"/>
      <c r="AS80" s="154"/>
      <c r="AT80" s="154">
        <v>281810</v>
      </c>
      <c r="AU80" s="154">
        <f t="shared" si="18"/>
        <v>0</v>
      </c>
      <c r="AV80" s="154"/>
      <c r="AW80" s="154"/>
      <c r="AX80" s="154"/>
      <c r="AY80" s="154"/>
      <c r="AZ80" s="154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  <c r="BO80" s="147"/>
      <c r="BP80" s="147"/>
    </row>
    <row r="81" spans="1:68" s="5" customFormat="1" ht="31.95" customHeight="1">
      <c r="A81" s="153">
        <f t="shared" si="19"/>
        <v>77</v>
      </c>
      <c r="B81" s="28">
        <v>2153</v>
      </c>
      <c r="C81" s="3" t="s">
        <v>455</v>
      </c>
      <c r="D81" s="4">
        <v>1000000</v>
      </c>
      <c r="E81" s="4">
        <v>1000000</v>
      </c>
      <c r="F81" s="154">
        <f t="shared" si="13"/>
        <v>0</v>
      </c>
      <c r="G81" s="4">
        <f>300000+100000</f>
        <v>400000</v>
      </c>
      <c r="H81" s="4">
        <v>223094</v>
      </c>
      <c r="I81" s="4">
        <v>0</v>
      </c>
      <c r="J81" s="4">
        <v>63498</v>
      </c>
      <c r="K81" s="154">
        <f t="shared" si="12"/>
        <v>63498</v>
      </c>
      <c r="L81" s="154">
        <f t="shared" si="14"/>
        <v>286592</v>
      </c>
      <c r="M81" s="154">
        <f t="shared" si="16"/>
        <v>713408</v>
      </c>
      <c r="N81" s="154"/>
      <c r="O81" s="154">
        <f t="shared" si="17"/>
        <v>0</v>
      </c>
      <c r="P81" s="154">
        <f t="shared" si="15"/>
        <v>113408</v>
      </c>
      <c r="Q81" s="154">
        <f>700000-100000</f>
        <v>600000</v>
      </c>
      <c r="R81" s="154"/>
      <c r="S81" s="154">
        <f t="shared" si="11"/>
        <v>600000</v>
      </c>
      <c r="T81" s="154">
        <v>0</v>
      </c>
      <c r="U81" s="154">
        <v>0</v>
      </c>
      <c r="V81" s="154">
        <v>0</v>
      </c>
      <c r="W81" s="154"/>
      <c r="X81" s="154"/>
      <c r="Y81" s="154"/>
      <c r="Z81" s="154"/>
      <c r="AA81" s="153"/>
      <c r="AB81" s="28" t="s">
        <v>540</v>
      </c>
      <c r="AC81" s="3">
        <v>829000</v>
      </c>
      <c r="AD81" s="154"/>
      <c r="AE81" s="154"/>
      <c r="AF81" s="154"/>
      <c r="AG81" s="154"/>
      <c r="AH81" s="154"/>
      <c r="AI81" s="154"/>
      <c r="AJ81" s="154"/>
      <c r="AK81" s="154"/>
      <c r="AL81" s="438"/>
      <c r="AM81" s="154">
        <v>0</v>
      </c>
      <c r="AN81" s="154">
        <v>0</v>
      </c>
      <c r="AO81" s="154">
        <v>0</v>
      </c>
      <c r="AP81" s="154"/>
      <c r="AQ81" s="154"/>
      <c r="AR81" s="154"/>
      <c r="AS81" s="154"/>
      <c r="AT81" s="154"/>
      <c r="AU81" s="154">
        <f t="shared" si="18"/>
        <v>0</v>
      </c>
      <c r="AV81" s="154"/>
      <c r="AW81" s="154"/>
      <c r="AX81" s="154"/>
      <c r="AY81" s="154"/>
      <c r="AZ81" s="154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</row>
    <row r="82" spans="1:68" s="5" customFormat="1" ht="31.95" customHeight="1">
      <c r="A82" s="153">
        <f t="shared" si="19"/>
        <v>78</v>
      </c>
      <c r="B82" s="28">
        <v>2174</v>
      </c>
      <c r="C82" s="3" t="s">
        <v>480</v>
      </c>
      <c r="D82" s="4">
        <f>12600000-3051008</f>
        <v>9548992</v>
      </c>
      <c r="E82" s="4">
        <v>12600000</v>
      </c>
      <c r="F82" s="154">
        <f t="shared" si="13"/>
        <v>-3051008</v>
      </c>
      <c r="G82" s="4">
        <f>7600000+1948992</f>
        <v>9548992</v>
      </c>
      <c r="H82" s="4">
        <v>7323409</v>
      </c>
      <c r="I82" s="4">
        <v>0</v>
      </c>
      <c r="J82" s="4">
        <v>1809690</v>
      </c>
      <c r="K82" s="154">
        <f t="shared" si="12"/>
        <v>1809690</v>
      </c>
      <c r="L82" s="154">
        <f t="shared" si="14"/>
        <v>9133099</v>
      </c>
      <c r="M82" s="154">
        <f t="shared" si="16"/>
        <v>415893</v>
      </c>
      <c r="N82" s="154"/>
      <c r="O82" s="154">
        <f t="shared" si="17"/>
        <v>0</v>
      </c>
      <c r="P82" s="154">
        <f t="shared" si="15"/>
        <v>415893</v>
      </c>
      <c r="Q82" s="154">
        <f>5000000-3051008-1948992</f>
        <v>0</v>
      </c>
      <c r="R82" s="154"/>
      <c r="S82" s="154">
        <f t="shared" si="11"/>
        <v>0</v>
      </c>
      <c r="T82" s="154">
        <v>0</v>
      </c>
      <c r="U82" s="154">
        <v>0</v>
      </c>
      <c r="V82" s="154">
        <v>0</v>
      </c>
      <c r="W82" s="154"/>
      <c r="X82" s="154"/>
      <c r="Y82" s="154"/>
      <c r="Z82" s="154"/>
      <c r="AA82" s="154"/>
      <c r="AB82" s="3" t="s">
        <v>1502</v>
      </c>
      <c r="AC82" s="3">
        <v>810000</v>
      </c>
      <c r="AD82" s="154"/>
      <c r="AE82" s="154"/>
      <c r="AF82" s="154"/>
      <c r="AG82" s="154"/>
      <c r="AH82" s="154"/>
      <c r="AI82" s="154"/>
      <c r="AJ82" s="154"/>
      <c r="AK82" s="154"/>
      <c r="AL82" s="438"/>
      <c r="AM82" s="154">
        <v>0</v>
      </c>
      <c r="AN82" s="154">
        <v>0</v>
      </c>
      <c r="AO82" s="154">
        <v>0</v>
      </c>
      <c r="AP82" s="154"/>
      <c r="AQ82" s="154"/>
      <c r="AR82" s="154"/>
      <c r="AS82" s="154"/>
      <c r="AT82" s="154"/>
      <c r="AU82" s="154">
        <f t="shared" si="18"/>
        <v>0</v>
      </c>
      <c r="AV82" s="154"/>
      <c r="AW82" s="154"/>
      <c r="AX82" s="154"/>
      <c r="AY82" s="154"/>
      <c r="AZ82" s="154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</row>
    <row r="83" spans="1:68" s="5" customFormat="1" ht="31.95" customHeight="1">
      <c r="A83" s="153">
        <f t="shared" si="19"/>
        <v>79</v>
      </c>
      <c r="B83" s="28">
        <v>2175</v>
      </c>
      <c r="C83" s="3" t="s">
        <v>481</v>
      </c>
      <c r="D83" s="4">
        <v>21000000</v>
      </c>
      <c r="E83" s="4">
        <v>21000000</v>
      </c>
      <c r="F83" s="154">
        <f t="shared" si="13"/>
        <v>0</v>
      </c>
      <c r="G83" s="4">
        <f>5500000+165336</f>
        <v>5665336</v>
      </c>
      <c r="H83" s="4">
        <v>1000371</v>
      </c>
      <c r="I83" s="4">
        <v>0</v>
      </c>
      <c r="J83" s="4">
        <v>801916</v>
      </c>
      <c r="K83" s="154">
        <f t="shared" si="12"/>
        <v>801916</v>
      </c>
      <c r="L83" s="154">
        <f t="shared" si="14"/>
        <v>1802287</v>
      </c>
      <c r="M83" s="154">
        <f t="shared" si="16"/>
        <v>3863049</v>
      </c>
      <c r="N83" s="154">
        <f>15500000-165336-5334664-2000000-1000000-1000000-1000000</f>
        <v>5000000</v>
      </c>
      <c r="O83" s="154">
        <f t="shared" si="17"/>
        <v>10334664</v>
      </c>
      <c r="P83" s="154">
        <f t="shared" si="15"/>
        <v>3863049</v>
      </c>
      <c r="Q83" s="154">
        <f>165336-165336</f>
        <v>0</v>
      </c>
      <c r="R83" s="154"/>
      <c r="S83" s="154">
        <f t="shared" si="11"/>
        <v>0</v>
      </c>
      <c r="T83" s="154">
        <v>0</v>
      </c>
      <c r="U83" s="154">
        <v>5000000</v>
      </c>
      <c r="V83" s="154">
        <v>1516647</v>
      </c>
      <c r="W83" s="154"/>
      <c r="X83" s="154"/>
      <c r="Y83" s="154"/>
      <c r="Z83" s="154"/>
      <c r="AA83" s="154">
        <v>3483353</v>
      </c>
      <c r="AB83" s="3" t="s">
        <v>1476</v>
      </c>
      <c r="AC83" s="3">
        <v>810000</v>
      </c>
      <c r="AD83" s="154"/>
      <c r="AE83" s="154"/>
      <c r="AF83" s="154"/>
      <c r="AG83" s="154"/>
      <c r="AH83" s="154"/>
      <c r="AI83" s="154"/>
      <c r="AJ83" s="154"/>
      <c r="AK83" s="154"/>
      <c r="AL83" s="438">
        <v>3945297</v>
      </c>
      <c r="AM83" s="154">
        <v>3945297</v>
      </c>
      <c r="AN83" s="154">
        <v>1054703</v>
      </c>
      <c r="AO83" s="154">
        <v>1516647</v>
      </c>
      <c r="AP83" s="154"/>
      <c r="AQ83" s="154"/>
      <c r="AR83" s="154"/>
      <c r="AS83" s="154"/>
      <c r="AT83" s="154">
        <v>2428650</v>
      </c>
      <c r="AU83" s="154">
        <f t="shared" si="18"/>
        <v>1516647</v>
      </c>
      <c r="AV83" s="154"/>
      <c r="AW83" s="154"/>
      <c r="AX83" s="154"/>
      <c r="AY83" s="154"/>
      <c r="AZ83" s="154">
        <f>1671100+835550-52000-26000</f>
        <v>2428650</v>
      </c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47"/>
    </row>
    <row r="84" spans="1:68" s="5" customFormat="1" ht="31.95" customHeight="1">
      <c r="A84" s="153">
        <f t="shared" si="19"/>
        <v>80</v>
      </c>
      <c r="B84" s="28">
        <v>2180</v>
      </c>
      <c r="C84" s="3" t="s">
        <v>482</v>
      </c>
      <c r="D84" s="4">
        <v>1000000</v>
      </c>
      <c r="E84" s="4">
        <v>1000000</v>
      </c>
      <c r="F84" s="154">
        <f t="shared" si="13"/>
        <v>0</v>
      </c>
      <c r="G84" s="4">
        <v>500000</v>
      </c>
      <c r="H84" s="4">
        <v>59582</v>
      </c>
      <c r="I84" s="4">
        <v>0</v>
      </c>
      <c r="J84" s="4">
        <v>64438</v>
      </c>
      <c r="K84" s="154">
        <f t="shared" si="12"/>
        <v>64438</v>
      </c>
      <c r="L84" s="154">
        <f t="shared" si="14"/>
        <v>124020</v>
      </c>
      <c r="M84" s="154">
        <f t="shared" si="16"/>
        <v>875980</v>
      </c>
      <c r="N84" s="154"/>
      <c r="O84" s="154">
        <f t="shared" si="17"/>
        <v>0</v>
      </c>
      <c r="P84" s="154">
        <f t="shared" si="15"/>
        <v>375980</v>
      </c>
      <c r="Q84" s="154">
        <v>500000</v>
      </c>
      <c r="R84" s="154"/>
      <c r="S84" s="154">
        <f t="shared" si="11"/>
        <v>500000</v>
      </c>
      <c r="T84" s="154">
        <v>0</v>
      </c>
      <c r="U84" s="154">
        <v>0</v>
      </c>
      <c r="V84" s="154">
        <v>0</v>
      </c>
      <c r="W84" s="154"/>
      <c r="X84" s="154"/>
      <c r="Y84" s="154"/>
      <c r="Z84" s="154"/>
      <c r="AA84" s="153"/>
      <c r="AB84" s="3" t="s">
        <v>541</v>
      </c>
      <c r="AC84" s="3">
        <v>732000</v>
      </c>
      <c r="AD84" s="154"/>
      <c r="AE84" s="154"/>
      <c r="AF84" s="154"/>
      <c r="AG84" s="154"/>
      <c r="AH84" s="154"/>
      <c r="AI84" s="154"/>
      <c r="AJ84" s="154"/>
      <c r="AK84" s="154"/>
      <c r="AL84" s="438"/>
      <c r="AM84" s="154">
        <v>0</v>
      </c>
      <c r="AN84" s="154">
        <v>0</v>
      </c>
      <c r="AO84" s="154">
        <v>0</v>
      </c>
      <c r="AP84" s="154"/>
      <c r="AQ84" s="154"/>
      <c r="AR84" s="154"/>
      <c r="AS84" s="154"/>
      <c r="AT84" s="154"/>
      <c r="AU84" s="154">
        <f t="shared" si="18"/>
        <v>0</v>
      </c>
      <c r="AV84" s="154"/>
      <c r="AW84" s="154"/>
      <c r="AX84" s="154"/>
      <c r="AY84" s="154"/>
      <c r="AZ84" s="154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</row>
    <row r="85" spans="1:68" s="5" customFormat="1" ht="31.95" customHeight="1">
      <c r="A85" s="153">
        <f t="shared" si="19"/>
        <v>81</v>
      </c>
      <c r="B85" s="28">
        <v>2182</v>
      </c>
      <c r="C85" s="3" t="s">
        <v>483</v>
      </c>
      <c r="D85" s="4">
        <v>2500000</v>
      </c>
      <c r="E85" s="4">
        <v>2500000</v>
      </c>
      <c r="F85" s="154">
        <f t="shared" si="13"/>
        <v>0</v>
      </c>
      <c r="G85" s="4">
        <v>300000</v>
      </c>
      <c r="H85" s="4">
        <v>27661</v>
      </c>
      <c r="I85" s="4">
        <v>0</v>
      </c>
      <c r="J85" s="4">
        <v>188002</v>
      </c>
      <c r="K85" s="154">
        <f t="shared" si="12"/>
        <v>188002</v>
      </c>
      <c r="L85" s="154">
        <f t="shared" si="14"/>
        <v>215663</v>
      </c>
      <c r="M85" s="154">
        <f t="shared" si="16"/>
        <v>1784337</v>
      </c>
      <c r="N85" s="154"/>
      <c r="O85" s="154">
        <f t="shared" si="17"/>
        <v>500000</v>
      </c>
      <c r="P85" s="154">
        <f t="shared" si="15"/>
        <v>84337</v>
      </c>
      <c r="Q85" s="154">
        <v>1700000</v>
      </c>
      <c r="R85" s="154"/>
      <c r="S85" s="154">
        <f t="shared" si="11"/>
        <v>1700000</v>
      </c>
      <c r="T85" s="154">
        <v>0</v>
      </c>
      <c r="U85" s="154">
        <v>0</v>
      </c>
      <c r="V85" s="154">
        <v>0</v>
      </c>
      <c r="W85" s="154"/>
      <c r="X85" s="154"/>
      <c r="Y85" s="154"/>
      <c r="Z85" s="154"/>
      <c r="AA85" s="153"/>
      <c r="AB85" s="3" t="s">
        <v>605</v>
      </c>
      <c r="AC85" s="3">
        <v>810000</v>
      </c>
      <c r="AD85" s="154"/>
      <c r="AE85" s="154"/>
      <c r="AF85" s="154"/>
      <c r="AG85" s="154"/>
      <c r="AH85" s="154"/>
      <c r="AI85" s="154"/>
      <c r="AJ85" s="154"/>
      <c r="AK85" s="154"/>
      <c r="AL85" s="438"/>
      <c r="AM85" s="154">
        <v>0</v>
      </c>
      <c r="AN85" s="154">
        <v>0</v>
      </c>
      <c r="AO85" s="154">
        <v>0</v>
      </c>
      <c r="AP85" s="154"/>
      <c r="AQ85" s="154"/>
      <c r="AR85" s="154"/>
      <c r="AS85" s="154"/>
      <c r="AT85" s="154"/>
      <c r="AU85" s="154">
        <f t="shared" si="18"/>
        <v>0</v>
      </c>
      <c r="AV85" s="154"/>
      <c r="AW85" s="154"/>
      <c r="AX85" s="154"/>
      <c r="AY85" s="154"/>
      <c r="AZ85" s="154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</row>
    <row r="86" spans="1:68" s="5" customFormat="1" ht="31.95" customHeight="1">
      <c r="A86" s="153">
        <f t="shared" si="19"/>
        <v>82</v>
      </c>
      <c r="B86" s="28">
        <v>2185</v>
      </c>
      <c r="C86" s="3" t="s">
        <v>484</v>
      </c>
      <c r="D86" s="4">
        <f>40000000</f>
        <v>40000000</v>
      </c>
      <c r="E86" s="4">
        <v>750000</v>
      </c>
      <c r="F86" s="154">
        <f t="shared" si="13"/>
        <v>39250000</v>
      </c>
      <c r="G86" s="4">
        <v>500000</v>
      </c>
      <c r="H86" s="4">
        <v>111410</v>
      </c>
      <c r="I86" s="4">
        <v>0</v>
      </c>
      <c r="J86" s="4">
        <v>112913</v>
      </c>
      <c r="K86" s="154">
        <f t="shared" si="12"/>
        <v>112913</v>
      </c>
      <c r="L86" s="154">
        <f t="shared" si="14"/>
        <v>224323</v>
      </c>
      <c r="M86" s="154">
        <f t="shared" si="16"/>
        <v>525677</v>
      </c>
      <c r="N86" s="154">
        <f>25000000-10000000-5000000-1000000-1000000</f>
        <v>8000000</v>
      </c>
      <c r="O86" s="154">
        <f t="shared" si="17"/>
        <v>31250000</v>
      </c>
      <c r="P86" s="154">
        <f t="shared" si="15"/>
        <v>275677</v>
      </c>
      <c r="Q86" s="154">
        <v>250000</v>
      </c>
      <c r="R86" s="154"/>
      <c r="S86" s="154">
        <f t="shared" si="11"/>
        <v>250000</v>
      </c>
      <c r="T86" s="154">
        <v>0</v>
      </c>
      <c r="U86" s="154">
        <v>8000000</v>
      </c>
      <c r="V86" s="154">
        <v>4405695</v>
      </c>
      <c r="W86" s="154"/>
      <c r="X86" s="154"/>
      <c r="Y86" s="154"/>
      <c r="Z86" s="154"/>
      <c r="AA86" s="154">
        <v>3594305</v>
      </c>
      <c r="AB86" s="3" t="s">
        <v>819</v>
      </c>
      <c r="AC86" s="3">
        <v>810000</v>
      </c>
      <c r="AD86" s="154"/>
      <c r="AE86" s="154"/>
      <c r="AF86" s="154"/>
      <c r="AG86" s="154"/>
      <c r="AH86" s="154">
        <v>231587</v>
      </c>
      <c r="AI86" s="154"/>
      <c r="AJ86" s="154"/>
      <c r="AK86" s="154"/>
      <c r="AL86" s="438">
        <v>4405695</v>
      </c>
      <c r="AM86" s="154">
        <v>4637282</v>
      </c>
      <c r="AN86" s="154">
        <v>3362718</v>
      </c>
      <c r="AO86" s="154">
        <v>4405695</v>
      </c>
      <c r="AP86" s="154"/>
      <c r="AQ86" s="154"/>
      <c r="AR86" s="154"/>
      <c r="AS86" s="154"/>
      <c r="AT86" s="154">
        <v>231587</v>
      </c>
      <c r="AU86" s="154">
        <f t="shared" si="18"/>
        <v>4405695</v>
      </c>
      <c r="AV86" s="154"/>
      <c r="AW86" s="154"/>
      <c r="AX86" s="154"/>
      <c r="AY86" s="154"/>
      <c r="AZ86" s="154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  <c r="BO86" s="147"/>
      <c r="BP86" s="147"/>
    </row>
    <row r="87" spans="1:68" s="5" customFormat="1" ht="31.95" customHeight="1">
      <c r="A87" s="153">
        <f t="shared" si="19"/>
        <v>83</v>
      </c>
      <c r="B87" s="28">
        <v>2191</v>
      </c>
      <c r="C87" s="3" t="s">
        <v>564</v>
      </c>
      <c r="D87" s="4">
        <f>14000000</f>
        <v>14000000</v>
      </c>
      <c r="E87" s="4">
        <v>500000</v>
      </c>
      <c r="F87" s="4">
        <f t="shared" si="13"/>
        <v>13500000</v>
      </c>
      <c r="G87" s="4">
        <v>500000</v>
      </c>
      <c r="H87" s="4">
        <v>0</v>
      </c>
      <c r="I87" s="4">
        <v>0</v>
      </c>
      <c r="J87" s="4">
        <v>0</v>
      </c>
      <c r="K87" s="4">
        <f>SUM(I87:J87)</f>
        <v>0</v>
      </c>
      <c r="L87" s="4">
        <f>H87+K87</f>
        <v>0</v>
      </c>
      <c r="M87" s="154">
        <f t="shared" si="16"/>
        <v>500000</v>
      </c>
      <c r="N87" s="154">
        <v>200000</v>
      </c>
      <c r="O87" s="4">
        <f t="shared" si="17"/>
        <v>13300000</v>
      </c>
      <c r="P87" s="4">
        <f t="shared" si="15"/>
        <v>500000</v>
      </c>
      <c r="Q87" s="4">
        <f>500000-500000</f>
        <v>0</v>
      </c>
      <c r="R87" s="4"/>
      <c r="S87" s="4">
        <f t="shared" ref="S87:S92" si="20">SUM(Q87:R87)</f>
        <v>0</v>
      </c>
      <c r="T87" s="4">
        <v>0</v>
      </c>
      <c r="U87" s="4">
        <v>200000</v>
      </c>
      <c r="V87" s="4">
        <v>200000</v>
      </c>
      <c r="W87" s="4"/>
      <c r="X87" s="4"/>
      <c r="Y87" s="4"/>
      <c r="Z87" s="4"/>
      <c r="AA87" s="4"/>
      <c r="AB87" s="3" t="s">
        <v>745</v>
      </c>
      <c r="AC87" s="3">
        <v>742000</v>
      </c>
      <c r="AD87" s="154"/>
      <c r="AE87" s="154"/>
      <c r="AF87" s="154"/>
      <c r="AG87" s="154"/>
      <c r="AH87" s="154"/>
      <c r="AI87" s="154"/>
      <c r="AJ87" s="154"/>
      <c r="AK87" s="154"/>
      <c r="AL87" s="438">
        <v>200000</v>
      </c>
      <c r="AM87" s="154">
        <v>200000</v>
      </c>
      <c r="AN87" s="154">
        <v>0</v>
      </c>
      <c r="AO87" s="154">
        <v>200000</v>
      </c>
      <c r="AP87" s="154"/>
      <c r="AQ87" s="154"/>
      <c r="AR87" s="154"/>
      <c r="AS87" s="154"/>
      <c r="AT87" s="154"/>
      <c r="AU87" s="154">
        <f t="shared" si="18"/>
        <v>200000</v>
      </c>
      <c r="AV87" s="154"/>
      <c r="AW87" s="154"/>
      <c r="AX87" s="154"/>
      <c r="AY87" s="154"/>
      <c r="AZ87" s="154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  <c r="BO87" s="147"/>
      <c r="BP87" s="147"/>
    </row>
    <row r="88" spans="1:68" s="5" customFormat="1" ht="31.95" customHeight="1">
      <c r="A88" s="153">
        <f t="shared" si="19"/>
        <v>84</v>
      </c>
      <c r="B88" s="28">
        <v>2194</v>
      </c>
      <c r="C88" s="3" t="s">
        <v>567</v>
      </c>
      <c r="D88" s="4">
        <v>700000</v>
      </c>
      <c r="E88" s="4">
        <v>700000</v>
      </c>
      <c r="F88" s="4">
        <f t="shared" si="13"/>
        <v>0</v>
      </c>
      <c r="G88" s="4">
        <v>500000</v>
      </c>
      <c r="H88" s="4">
        <v>0</v>
      </c>
      <c r="I88" s="4">
        <v>0</v>
      </c>
      <c r="J88" s="4">
        <v>0</v>
      </c>
      <c r="K88" s="4"/>
      <c r="L88" s="4">
        <f>H88+K88</f>
        <v>0</v>
      </c>
      <c r="M88" s="154">
        <f t="shared" si="16"/>
        <v>500000</v>
      </c>
      <c r="N88" s="154">
        <f>700000-500000</f>
        <v>200000</v>
      </c>
      <c r="O88" s="4">
        <f t="shared" si="17"/>
        <v>0</v>
      </c>
      <c r="P88" s="4">
        <f t="shared" si="15"/>
        <v>500000</v>
      </c>
      <c r="Q88" s="4">
        <f>500000-500000</f>
        <v>0</v>
      </c>
      <c r="R88" s="4"/>
      <c r="S88" s="4">
        <f t="shared" si="20"/>
        <v>0</v>
      </c>
      <c r="T88" s="4">
        <v>0</v>
      </c>
      <c r="U88" s="4">
        <v>200000</v>
      </c>
      <c r="V88" s="4">
        <v>200000</v>
      </c>
      <c r="W88" s="4"/>
      <c r="X88" s="4"/>
      <c r="Y88" s="4"/>
      <c r="Z88" s="4"/>
      <c r="AA88" s="4"/>
      <c r="AB88" s="3" t="s">
        <v>746</v>
      </c>
      <c r="AC88" s="3">
        <v>742000</v>
      </c>
      <c r="AD88" s="154"/>
      <c r="AE88" s="154"/>
      <c r="AF88" s="154"/>
      <c r="AG88" s="154"/>
      <c r="AH88" s="154"/>
      <c r="AI88" s="154"/>
      <c r="AJ88" s="154"/>
      <c r="AK88" s="154"/>
      <c r="AL88" s="438"/>
      <c r="AM88" s="154">
        <v>0</v>
      </c>
      <c r="AN88" s="154">
        <v>200000</v>
      </c>
      <c r="AO88" s="154">
        <v>0</v>
      </c>
      <c r="AP88" s="154"/>
      <c r="AQ88" s="154"/>
      <c r="AR88" s="154"/>
      <c r="AS88" s="154"/>
      <c r="AT88" s="154"/>
      <c r="AU88" s="154">
        <f t="shared" si="18"/>
        <v>0</v>
      </c>
      <c r="AV88" s="154"/>
      <c r="AW88" s="154"/>
      <c r="AX88" s="154"/>
      <c r="AY88" s="154"/>
      <c r="AZ88" s="154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</row>
    <row r="89" spans="1:68" s="5" customFormat="1" ht="31.95" customHeight="1">
      <c r="A89" s="153">
        <f t="shared" si="19"/>
        <v>85</v>
      </c>
      <c r="B89" s="28">
        <v>2196</v>
      </c>
      <c r="C89" s="3" t="s">
        <v>569</v>
      </c>
      <c r="D89" s="4">
        <f>21135000</f>
        <v>21135000</v>
      </c>
      <c r="E89" s="4">
        <v>2000000</v>
      </c>
      <c r="F89" s="4">
        <f t="shared" si="13"/>
        <v>19135000</v>
      </c>
      <c r="G89" s="4">
        <v>400000</v>
      </c>
      <c r="H89" s="4">
        <v>0</v>
      </c>
      <c r="I89" s="4">
        <v>0</v>
      </c>
      <c r="J89" s="4">
        <v>0</v>
      </c>
      <c r="K89" s="4"/>
      <c r="L89" s="4">
        <f>H89+K89</f>
        <v>0</v>
      </c>
      <c r="M89" s="154">
        <f t="shared" si="16"/>
        <v>400000</v>
      </c>
      <c r="N89" s="154">
        <f>1000000-400000</f>
        <v>600000</v>
      </c>
      <c r="O89" s="4">
        <f t="shared" si="17"/>
        <v>20135000</v>
      </c>
      <c r="P89" s="4">
        <f t="shared" si="15"/>
        <v>400000</v>
      </c>
      <c r="Q89" s="4">
        <f>400000-400000</f>
        <v>0</v>
      </c>
      <c r="R89" s="4"/>
      <c r="S89" s="4">
        <f t="shared" si="20"/>
        <v>0</v>
      </c>
      <c r="T89" s="4">
        <v>0</v>
      </c>
      <c r="U89" s="4">
        <v>600000</v>
      </c>
      <c r="V89" s="4">
        <v>600000</v>
      </c>
      <c r="W89" s="4"/>
      <c r="X89" s="4"/>
      <c r="Y89" s="4"/>
      <c r="Z89" s="4"/>
      <c r="AA89" s="4"/>
      <c r="AB89" s="3" t="s">
        <v>747</v>
      </c>
      <c r="AC89" s="3">
        <v>742000</v>
      </c>
      <c r="AD89" s="154"/>
      <c r="AE89" s="154"/>
      <c r="AF89" s="154"/>
      <c r="AG89" s="154"/>
      <c r="AH89" s="154"/>
      <c r="AI89" s="154"/>
      <c r="AJ89" s="154"/>
      <c r="AK89" s="154">
        <v>100000</v>
      </c>
      <c r="AL89" s="438">
        <v>500000</v>
      </c>
      <c r="AM89" s="154">
        <v>600000</v>
      </c>
      <c r="AN89" s="154">
        <v>0</v>
      </c>
      <c r="AO89" s="154">
        <v>600000</v>
      </c>
      <c r="AP89" s="154"/>
      <c r="AQ89" s="154"/>
      <c r="AR89" s="154"/>
      <c r="AS89" s="154"/>
      <c r="AT89" s="154"/>
      <c r="AU89" s="154">
        <f t="shared" si="18"/>
        <v>500000</v>
      </c>
      <c r="AV89" s="154"/>
      <c r="AW89" s="154"/>
      <c r="AX89" s="154"/>
      <c r="AY89" s="154"/>
      <c r="AZ89" s="154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7"/>
      <c r="BN89" s="147"/>
      <c r="BO89" s="147"/>
      <c r="BP89" s="147"/>
    </row>
    <row r="90" spans="1:68" s="5" customFormat="1" ht="31.95" customHeight="1">
      <c r="A90" s="153">
        <f t="shared" si="19"/>
        <v>86</v>
      </c>
      <c r="B90" s="28">
        <v>2197</v>
      </c>
      <c r="C90" s="3" t="s">
        <v>570</v>
      </c>
      <c r="D90" s="4">
        <f>15160000</f>
        <v>15160000</v>
      </c>
      <c r="E90" s="4">
        <v>4000000</v>
      </c>
      <c r="F90" s="4">
        <f t="shared" si="13"/>
        <v>11160000</v>
      </c>
      <c r="G90" s="4">
        <v>300000</v>
      </c>
      <c r="H90" s="4">
        <v>0</v>
      </c>
      <c r="I90" s="4">
        <v>0</v>
      </c>
      <c r="J90" s="4">
        <v>0</v>
      </c>
      <c r="K90" s="4">
        <f>SUM(I90:J90)</f>
        <v>0</v>
      </c>
      <c r="L90" s="4">
        <f>H90+K90</f>
        <v>0</v>
      </c>
      <c r="M90" s="154">
        <f t="shared" si="16"/>
        <v>300000</v>
      </c>
      <c r="N90" s="154">
        <f>700000-300000</f>
        <v>400000</v>
      </c>
      <c r="O90" s="4">
        <f t="shared" si="17"/>
        <v>14460000</v>
      </c>
      <c r="P90" s="4">
        <f t="shared" si="15"/>
        <v>300000</v>
      </c>
      <c r="Q90" s="4">
        <f>300000-300000</f>
        <v>0</v>
      </c>
      <c r="R90" s="4"/>
      <c r="S90" s="4">
        <f t="shared" si="20"/>
        <v>0</v>
      </c>
      <c r="T90" s="4">
        <v>0</v>
      </c>
      <c r="U90" s="4">
        <v>400000</v>
      </c>
      <c r="V90" s="4">
        <v>400000</v>
      </c>
      <c r="W90" s="4"/>
      <c r="X90" s="4"/>
      <c r="Y90" s="4"/>
      <c r="Z90" s="4"/>
      <c r="AA90" s="4"/>
      <c r="AB90" s="3" t="s">
        <v>748</v>
      </c>
      <c r="AC90" s="3">
        <v>742000</v>
      </c>
      <c r="AD90" s="154"/>
      <c r="AE90" s="154"/>
      <c r="AF90" s="154"/>
      <c r="AG90" s="154"/>
      <c r="AH90" s="154"/>
      <c r="AI90" s="154"/>
      <c r="AJ90" s="154">
        <v>200000</v>
      </c>
      <c r="AK90" s="154">
        <v>100000</v>
      </c>
      <c r="AL90" s="438">
        <v>100000</v>
      </c>
      <c r="AM90" s="154">
        <v>400000</v>
      </c>
      <c r="AN90" s="154">
        <v>0</v>
      </c>
      <c r="AO90" s="154">
        <v>400000</v>
      </c>
      <c r="AP90" s="154"/>
      <c r="AQ90" s="154"/>
      <c r="AR90" s="154"/>
      <c r="AS90" s="154"/>
      <c r="AT90" s="154"/>
      <c r="AU90" s="154">
        <f t="shared" si="18"/>
        <v>100000</v>
      </c>
      <c r="AV90" s="154"/>
      <c r="AW90" s="154"/>
      <c r="AX90" s="154"/>
      <c r="AY90" s="154"/>
      <c r="AZ90" s="154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</row>
    <row r="91" spans="1:68" s="5" customFormat="1" ht="31.95" customHeight="1">
      <c r="A91" s="153">
        <f t="shared" si="19"/>
        <v>87</v>
      </c>
      <c r="B91" s="28">
        <v>2198</v>
      </c>
      <c r="C91" s="3" t="s">
        <v>571</v>
      </c>
      <c r="D91" s="4">
        <f>16030000</f>
        <v>16030000</v>
      </c>
      <c r="E91" s="4">
        <v>9500000</v>
      </c>
      <c r="F91" s="4">
        <f t="shared" si="13"/>
        <v>6530000</v>
      </c>
      <c r="G91" s="4">
        <v>500000</v>
      </c>
      <c r="H91" s="4">
        <v>0</v>
      </c>
      <c r="I91" s="4">
        <v>0</v>
      </c>
      <c r="J91" s="4">
        <v>0</v>
      </c>
      <c r="K91" s="4"/>
      <c r="L91" s="4">
        <f>H91+K91</f>
        <v>0</v>
      </c>
      <c r="M91" s="154">
        <f t="shared" si="16"/>
        <v>500000</v>
      </c>
      <c r="N91" s="154">
        <f>800000-500000</f>
        <v>300000</v>
      </c>
      <c r="O91" s="4">
        <f t="shared" si="17"/>
        <v>15230000</v>
      </c>
      <c r="P91" s="4">
        <f t="shared" si="15"/>
        <v>500000</v>
      </c>
      <c r="Q91" s="4">
        <f>500000-500000</f>
        <v>0</v>
      </c>
      <c r="R91" s="4"/>
      <c r="S91" s="4">
        <f t="shared" si="20"/>
        <v>0</v>
      </c>
      <c r="T91" s="4">
        <v>0</v>
      </c>
      <c r="U91" s="4">
        <v>300000</v>
      </c>
      <c r="V91" s="4">
        <v>300000</v>
      </c>
      <c r="W91" s="4"/>
      <c r="X91" s="4"/>
      <c r="Y91" s="4"/>
      <c r="Z91" s="4"/>
      <c r="AA91" s="4"/>
      <c r="AB91" s="3" t="s">
        <v>820</v>
      </c>
      <c r="AC91" s="3">
        <v>742000</v>
      </c>
      <c r="AD91" s="154"/>
      <c r="AE91" s="154"/>
      <c r="AF91" s="154"/>
      <c r="AG91" s="154"/>
      <c r="AH91" s="154"/>
      <c r="AI91" s="154"/>
      <c r="AJ91" s="154"/>
      <c r="AK91" s="154"/>
      <c r="AL91" s="438">
        <v>300000</v>
      </c>
      <c r="AM91" s="154">
        <v>300000</v>
      </c>
      <c r="AN91" s="154">
        <v>0</v>
      </c>
      <c r="AO91" s="154">
        <v>300000</v>
      </c>
      <c r="AP91" s="154"/>
      <c r="AQ91" s="154"/>
      <c r="AR91" s="154"/>
      <c r="AS91" s="154"/>
      <c r="AT91" s="154"/>
      <c r="AU91" s="154">
        <f t="shared" si="18"/>
        <v>300000</v>
      </c>
      <c r="AV91" s="154"/>
      <c r="AW91" s="154"/>
      <c r="AX91" s="154"/>
      <c r="AY91" s="154"/>
      <c r="AZ91" s="154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</row>
    <row r="92" spans="1:68" s="5" customFormat="1" ht="31.95" customHeight="1">
      <c r="A92" s="153">
        <f t="shared" si="19"/>
        <v>88</v>
      </c>
      <c r="B92" s="28">
        <v>2201</v>
      </c>
      <c r="C92" s="3" t="s">
        <v>544</v>
      </c>
      <c r="D92" s="4">
        <v>80000000</v>
      </c>
      <c r="E92" s="4">
        <v>80000000</v>
      </c>
      <c r="F92" s="4">
        <f t="shared" si="13"/>
        <v>0</v>
      </c>
      <c r="G92" s="4">
        <v>100000</v>
      </c>
      <c r="H92" s="4">
        <v>0</v>
      </c>
      <c r="I92" s="4">
        <v>0</v>
      </c>
      <c r="J92" s="4">
        <v>52188</v>
      </c>
      <c r="K92" s="4">
        <f t="shared" ref="K92:K100" si="21">SUM(I92:J92)</f>
        <v>52188</v>
      </c>
      <c r="L92" s="154">
        <f t="shared" si="14"/>
        <v>52188</v>
      </c>
      <c r="M92" s="154">
        <f t="shared" si="16"/>
        <v>447812</v>
      </c>
      <c r="N92" s="154">
        <f>1500000-500000</f>
        <v>1000000</v>
      </c>
      <c r="O92" s="4">
        <f t="shared" si="17"/>
        <v>78500000</v>
      </c>
      <c r="P92" s="4">
        <f t="shared" si="15"/>
        <v>47812</v>
      </c>
      <c r="Q92" s="4">
        <v>400000</v>
      </c>
      <c r="R92" s="4"/>
      <c r="S92" s="154">
        <f t="shared" si="20"/>
        <v>400000</v>
      </c>
      <c r="T92" s="154">
        <v>0</v>
      </c>
      <c r="U92" s="154">
        <v>1000000</v>
      </c>
      <c r="V92" s="154">
        <v>1000000</v>
      </c>
      <c r="W92" s="4"/>
      <c r="X92" s="4"/>
      <c r="Y92" s="4"/>
      <c r="Z92" s="4"/>
      <c r="AA92" s="4"/>
      <c r="AB92" s="3" t="s">
        <v>862</v>
      </c>
      <c r="AC92" s="3">
        <v>810000</v>
      </c>
      <c r="AD92" s="154"/>
      <c r="AE92" s="154"/>
      <c r="AF92" s="154"/>
      <c r="AG92" s="154"/>
      <c r="AH92" s="154">
        <v>150000</v>
      </c>
      <c r="AI92" s="154"/>
      <c r="AJ92" s="154"/>
      <c r="AK92" s="154"/>
      <c r="AL92" s="438">
        <v>850000</v>
      </c>
      <c r="AM92" s="154">
        <v>1000000</v>
      </c>
      <c r="AN92" s="154">
        <v>0</v>
      </c>
      <c r="AO92" s="154">
        <v>1000000</v>
      </c>
      <c r="AP92" s="154"/>
      <c r="AQ92" s="154"/>
      <c r="AR92" s="154"/>
      <c r="AS92" s="154"/>
      <c r="AT92" s="154"/>
      <c r="AU92" s="154">
        <f t="shared" si="18"/>
        <v>850000</v>
      </c>
      <c r="AV92" s="154"/>
      <c r="AW92" s="154"/>
      <c r="AX92" s="154"/>
      <c r="AY92" s="154"/>
      <c r="AZ92" s="154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</row>
    <row r="93" spans="1:68" s="5" customFormat="1" ht="31.95" customHeight="1">
      <c r="A93" s="153">
        <f t="shared" si="19"/>
        <v>89</v>
      </c>
      <c r="B93" s="28">
        <v>2202</v>
      </c>
      <c r="C93" s="3" t="s">
        <v>545</v>
      </c>
      <c r="D93" s="4">
        <v>1000000</v>
      </c>
      <c r="E93" s="4">
        <v>1000000</v>
      </c>
      <c r="F93" s="4">
        <f t="shared" si="13"/>
        <v>0</v>
      </c>
      <c r="G93" s="4">
        <v>100000</v>
      </c>
      <c r="H93" s="4">
        <v>0</v>
      </c>
      <c r="I93" s="4">
        <v>0</v>
      </c>
      <c r="J93" s="4">
        <v>0</v>
      </c>
      <c r="K93" s="4">
        <f t="shared" si="21"/>
        <v>0</v>
      </c>
      <c r="L93" s="154">
        <f t="shared" si="14"/>
        <v>0</v>
      </c>
      <c r="M93" s="154">
        <f t="shared" si="16"/>
        <v>1000000</v>
      </c>
      <c r="N93" s="154"/>
      <c r="O93" s="4">
        <f t="shared" si="17"/>
        <v>0</v>
      </c>
      <c r="P93" s="4">
        <f t="shared" si="15"/>
        <v>100000</v>
      </c>
      <c r="Q93" s="4">
        <v>900000</v>
      </c>
      <c r="R93" s="4"/>
      <c r="S93" s="154">
        <f t="shared" ref="S93:S100" si="22">SUM(Q93:R93)</f>
        <v>900000</v>
      </c>
      <c r="T93" s="154">
        <v>0</v>
      </c>
      <c r="U93" s="154">
        <v>0</v>
      </c>
      <c r="V93" s="154">
        <v>0</v>
      </c>
      <c r="W93" s="4"/>
      <c r="X93" s="4"/>
      <c r="Y93" s="4"/>
      <c r="Z93" s="4"/>
      <c r="AA93" s="4"/>
      <c r="AB93" s="3" t="s">
        <v>749</v>
      </c>
      <c r="AC93" s="3">
        <v>810000</v>
      </c>
      <c r="AD93" s="154"/>
      <c r="AE93" s="154"/>
      <c r="AF93" s="154"/>
      <c r="AG93" s="154"/>
      <c r="AH93" s="154"/>
      <c r="AI93" s="154"/>
      <c r="AJ93" s="154"/>
      <c r="AK93" s="154"/>
      <c r="AL93" s="438"/>
      <c r="AM93" s="154">
        <v>0</v>
      </c>
      <c r="AN93" s="154">
        <v>0</v>
      </c>
      <c r="AO93" s="154">
        <v>0</v>
      </c>
      <c r="AP93" s="154"/>
      <c r="AQ93" s="154"/>
      <c r="AR93" s="154"/>
      <c r="AS93" s="154"/>
      <c r="AT93" s="154"/>
      <c r="AU93" s="154">
        <f t="shared" si="18"/>
        <v>0</v>
      </c>
      <c r="AV93" s="154"/>
      <c r="AW93" s="154"/>
      <c r="AX93" s="154"/>
      <c r="AY93" s="154"/>
      <c r="AZ93" s="154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/>
      <c r="BP93" s="147"/>
    </row>
    <row r="94" spans="1:68" s="5" customFormat="1" ht="31.95" customHeight="1">
      <c r="A94" s="153">
        <f t="shared" si="19"/>
        <v>90</v>
      </c>
      <c r="B94" s="28">
        <v>2203</v>
      </c>
      <c r="C94" s="3" t="s">
        <v>995</v>
      </c>
      <c r="D94" s="4">
        <v>1000000</v>
      </c>
      <c r="E94" s="4">
        <v>1000000</v>
      </c>
      <c r="F94" s="4">
        <f t="shared" si="13"/>
        <v>0</v>
      </c>
      <c r="G94" s="4">
        <v>100000</v>
      </c>
      <c r="H94" s="4">
        <v>0</v>
      </c>
      <c r="I94" s="4">
        <v>0</v>
      </c>
      <c r="J94" s="4">
        <v>0</v>
      </c>
      <c r="K94" s="4">
        <f t="shared" si="21"/>
        <v>0</v>
      </c>
      <c r="L94" s="154">
        <f t="shared" si="14"/>
        <v>0</v>
      </c>
      <c r="M94" s="154">
        <f t="shared" si="16"/>
        <v>1000000</v>
      </c>
      <c r="N94" s="154"/>
      <c r="O94" s="4">
        <f t="shared" si="17"/>
        <v>0</v>
      </c>
      <c r="P94" s="4">
        <f t="shared" si="15"/>
        <v>100000</v>
      </c>
      <c r="Q94" s="4">
        <v>900000</v>
      </c>
      <c r="R94" s="4"/>
      <c r="S94" s="154">
        <f t="shared" si="22"/>
        <v>900000</v>
      </c>
      <c r="T94" s="154">
        <v>0</v>
      </c>
      <c r="U94" s="154">
        <v>0</v>
      </c>
      <c r="V94" s="154">
        <v>0</v>
      </c>
      <c r="W94" s="4"/>
      <c r="X94" s="4"/>
      <c r="Y94" s="4"/>
      <c r="Z94" s="4"/>
      <c r="AA94" s="4"/>
      <c r="AB94" s="3" t="s">
        <v>750</v>
      </c>
      <c r="AC94" s="419">
        <v>829000</v>
      </c>
      <c r="AD94" s="154"/>
      <c r="AE94" s="154"/>
      <c r="AF94" s="154"/>
      <c r="AG94" s="154"/>
      <c r="AH94" s="154"/>
      <c r="AI94" s="154"/>
      <c r="AJ94" s="154"/>
      <c r="AK94" s="154"/>
      <c r="AL94" s="438"/>
      <c r="AM94" s="154">
        <v>0</v>
      </c>
      <c r="AN94" s="154">
        <v>0</v>
      </c>
      <c r="AO94" s="154">
        <v>0</v>
      </c>
      <c r="AP94" s="154"/>
      <c r="AQ94" s="154"/>
      <c r="AR94" s="154"/>
      <c r="AS94" s="154"/>
      <c r="AT94" s="154"/>
      <c r="AU94" s="154">
        <f t="shared" si="18"/>
        <v>0</v>
      </c>
      <c r="AV94" s="154"/>
      <c r="AW94" s="154"/>
      <c r="AX94" s="154"/>
      <c r="AY94" s="154"/>
      <c r="AZ94" s="154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7"/>
      <c r="BN94" s="147"/>
      <c r="BO94" s="147"/>
      <c r="BP94" s="147"/>
    </row>
    <row r="95" spans="1:68" s="5" customFormat="1" ht="31.95" customHeight="1">
      <c r="A95" s="153">
        <f t="shared" si="19"/>
        <v>91</v>
      </c>
      <c r="B95" s="28">
        <v>2204</v>
      </c>
      <c r="C95" s="3" t="s">
        <v>1216</v>
      </c>
      <c r="D95" s="4">
        <v>800000</v>
      </c>
      <c r="E95" s="4">
        <v>800000</v>
      </c>
      <c r="F95" s="4">
        <f t="shared" si="13"/>
        <v>0</v>
      </c>
      <c r="G95" s="4">
        <v>100000</v>
      </c>
      <c r="H95" s="4">
        <v>0</v>
      </c>
      <c r="I95" s="4">
        <v>0</v>
      </c>
      <c r="J95" s="4">
        <v>0</v>
      </c>
      <c r="K95" s="4">
        <f t="shared" si="21"/>
        <v>0</v>
      </c>
      <c r="L95" s="154">
        <f t="shared" si="14"/>
        <v>0</v>
      </c>
      <c r="M95" s="154">
        <f t="shared" si="16"/>
        <v>800000</v>
      </c>
      <c r="N95" s="154"/>
      <c r="O95" s="4">
        <f t="shared" si="17"/>
        <v>0</v>
      </c>
      <c r="P95" s="4">
        <f t="shared" si="15"/>
        <v>100000</v>
      </c>
      <c r="Q95" s="4">
        <v>700000</v>
      </c>
      <c r="R95" s="4"/>
      <c r="S95" s="154">
        <f t="shared" si="22"/>
        <v>700000</v>
      </c>
      <c r="T95" s="154">
        <v>0</v>
      </c>
      <c r="U95" s="154">
        <v>0</v>
      </c>
      <c r="V95" s="154">
        <v>0</v>
      </c>
      <c r="W95" s="4"/>
      <c r="X95" s="4"/>
      <c r="Y95" s="4"/>
      <c r="Z95" s="4"/>
      <c r="AA95" s="4"/>
      <c r="AB95" s="3" t="s">
        <v>751</v>
      </c>
      <c r="AC95" s="3">
        <v>810000</v>
      </c>
      <c r="AD95" s="154"/>
      <c r="AE95" s="154"/>
      <c r="AF95" s="154"/>
      <c r="AG95" s="154"/>
      <c r="AH95" s="154"/>
      <c r="AI95" s="154"/>
      <c r="AJ95" s="154"/>
      <c r="AK95" s="154"/>
      <c r="AL95" s="438"/>
      <c r="AM95" s="154">
        <v>0</v>
      </c>
      <c r="AN95" s="154">
        <v>0</v>
      </c>
      <c r="AO95" s="154">
        <v>0</v>
      </c>
      <c r="AP95" s="154"/>
      <c r="AQ95" s="154"/>
      <c r="AR95" s="154"/>
      <c r="AS95" s="154"/>
      <c r="AT95" s="154"/>
      <c r="AU95" s="154">
        <f t="shared" si="18"/>
        <v>0</v>
      </c>
      <c r="AV95" s="154"/>
      <c r="AW95" s="154"/>
      <c r="AX95" s="154"/>
      <c r="AY95" s="154"/>
      <c r="AZ95" s="154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47"/>
    </row>
    <row r="96" spans="1:68" s="5" customFormat="1" ht="31.95" customHeight="1">
      <c r="A96" s="153">
        <f t="shared" si="19"/>
        <v>92</v>
      </c>
      <c r="B96" s="28">
        <v>2205</v>
      </c>
      <c r="C96" s="3" t="s">
        <v>496</v>
      </c>
      <c r="D96" s="4">
        <f>16200000-200000</f>
        <v>16000000</v>
      </c>
      <c r="E96" s="4">
        <v>16000000</v>
      </c>
      <c r="F96" s="4">
        <f t="shared" si="13"/>
        <v>0</v>
      </c>
      <c r="G96" s="4">
        <f>100000+50000</f>
        <v>150000</v>
      </c>
      <c r="H96" s="4">
        <v>1032</v>
      </c>
      <c r="I96" s="4">
        <v>0</v>
      </c>
      <c r="J96" s="4">
        <v>61020</v>
      </c>
      <c r="K96" s="4">
        <f t="shared" si="21"/>
        <v>61020</v>
      </c>
      <c r="L96" s="154">
        <f t="shared" si="14"/>
        <v>62052</v>
      </c>
      <c r="M96" s="154">
        <f t="shared" si="16"/>
        <v>387948</v>
      </c>
      <c r="N96" s="154">
        <f>15750000-5750000-1000000-2000000</f>
        <v>7000000</v>
      </c>
      <c r="O96" s="4">
        <f t="shared" si="17"/>
        <v>8550000</v>
      </c>
      <c r="P96" s="4">
        <f t="shared" si="15"/>
        <v>87948</v>
      </c>
      <c r="Q96" s="4">
        <f>350000-50000</f>
        <v>300000</v>
      </c>
      <c r="R96" s="4"/>
      <c r="S96" s="154">
        <f t="shared" si="22"/>
        <v>300000</v>
      </c>
      <c r="T96" s="154">
        <v>0</v>
      </c>
      <c r="U96" s="154">
        <v>7000000</v>
      </c>
      <c r="V96" s="154">
        <v>7000000</v>
      </c>
      <c r="W96" s="4"/>
      <c r="X96" s="4"/>
      <c r="Y96" s="4"/>
      <c r="Z96" s="4"/>
      <c r="AA96" s="4"/>
      <c r="AB96" s="29" t="s">
        <v>1503</v>
      </c>
      <c r="AC96" s="3">
        <v>810000</v>
      </c>
      <c r="AD96" s="154"/>
      <c r="AE96" s="154"/>
      <c r="AF96" s="154"/>
      <c r="AG96" s="154"/>
      <c r="AH96" s="154"/>
      <c r="AI96" s="154"/>
      <c r="AJ96" s="154"/>
      <c r="AK96" s="154">
        <v>300000</v>
      </c>
      <c r="AL96" s="438">
        <v>6700000</v>
      </c>
      <c r="AM96" s="154">
        <v>7000000</v>
      </c>
      <c r="AN96" s="154">
        <v>0</v>
      </c>
      <c r="AO96" s="154">
        <v>7000000</v>
      </c>
      <c r="AP96" s="154"/>
      <c r="AQ96" s="154"/>
      <c r="AR96" s="154"/>
      <c r="AS96" s="154"/>
      <c r="AT96" s="154"/>
      <c r="AU96" s="154">
        <f t="shared" si="18"/>
        <v>6700000</v>
      </c>
      <c r="AV96" s="154"/>
      <c r="AW96" s="154"/>
      <c r="AX96" s="154"/>
      <c r="AY96" s="154"/>
      <c r="AZ96" s="154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  <c r="BO96" s="147"/>
      <c r="BP96" s="147"/>
    </row>
    <row r="97" spans="1:68" s="5" customFormat="1" ht="31.95" customHeight="1">
      <c r="A97" s="153">
        <f t="shared" si="19"/>
        <v>93</v>
      </c>
      <c r="B97" s="28">
        <v>2206</v>
      </c>
      <c r="C97" s="3" t="s">
        <v>546</v>
      </c>
      <c r="D97" s="4">
        <f>1000000+3000000</f>
        <v>4000000</v>
      </c>
      <c r="E97" s="4">
        <v>1000000</v>
      </c>
      <c r="F97" s="4">
        <f t="shared" si="13"/>
        <v>3000000</v>
      </c>
      <c r="G97" s="4">
        <v>200000</v>
      </c>
      <c r="H97" s="4">
        <v>6845</v>
      </c>
      <c r="I97" s="4">
        <v>0</v>
      </c>
      <c r="J97" s="4">
        <v>117175</v>
      </c>
      <c r="K97" s="4">
        <f t="shared" si="21"/>
        <v>117175</v>
      </c>
      <c r="L97" s="154">
        <f t="shared" si="14"/>
        <v>124020</v>
      </c>
      <c r="M97" s="154">
        <f t="shared" si="16"/>
        <v>875980</v>
      </c>
      <c r="N97" s="154">
        <f>3000000-1000000-500000-250000-350000</f>
        <v>900000</v>
      </c>
      <c r="O97" s="4">
        <f t="shared" si="17"/>
        <v>2100000</v>
      </c>
      <c r="P97" s="4">
        <f t="shared" si="15"/>
        <v>75980</v>
      </c>
      <c r="Q97" s="4">
        <v>800000</v>
      </c>
      <c r="R97" s="4"/>
      <c r="S97" s="154">
        <f t="shared" si="22"/>
        <v>800000</v>
      </c>
      <c r="T97" s="154">
        <v>0</v>
      </c>
      <c r="U97" s="154">
        <v>900000</v>
      </c>
      <c r="V97" s="154">
        <v>900000</v>
      </c>
      <c r="W97" s="4"/>
      <c r="X97" s="4"/>
      <c r="Y97" s="4"/>
      <c r="Z97" s="4"/>
      <c r="AA97" s="4"/>
      <c r="AB97" s="29" t="s">
        <v>1504</v>
      </c>
      <c r="AC97" s="3">
        <v>810000</v>
      </c>
      <c r="AD97" s="154"/>
      <c r="AE97" s="154"/>
      <c r="AF97" s="154"/>
      <c r="AG97" s="154"/>
      <c r="AH97" s="154"/>
      <c r="AI97" s="154"/>
      <c r="AJ97" s="154"/>
      <c r="AK97" s="154"/>
      <c r="AL97" s="438"/>
      <c r="AM97" s="154">
        <v>0</v>
      </c>
      <c r="AN97" s="154">
        <v>900000</v>
      </c>
      <c r="AO97" s="154">
        <v>0</v>
      </c>
      <c r="AP97" s="154"/>
      <c r="AQ97" s="154"/>
      <c r="AR97" s="154"/>
      <c r="AS97" s="154"/>
      <c r="AT97" s="154"/>
      <c r="AU97" s="154">
        <f t="shared" si="18"/>
        <v>0</v>
      </c>
      <c r="AV97" s="154"/>
      <c r="AW97" s="154"/>
      <c r="AX97" s="154"/>
      <c r="AY97" s="154"/>
      <c r="AZ97" s="154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7"/>
    </row>
    <row r="98" spans="1:68" s="5" customFormat="1" ht="31.95" customHeight="1">
      <c r="A98" s="153">
        <f t="shared" si="19"/>
        <v>94</v>
      </c>
      <c r="B98" s="28">
        <v>2207</v>
      </c>
      <c r="C98" s="3" t="s">
        <v>547</v>
      </c>
      <c r="D98" s="4">
        <v>500000</v>
      </c>
      <c r="E98" s="4">
        <v>500000</v>
      </c>
      <c r="F98" s="4">
        <f t="shared" si="13"/>
        <v>0</v>
      </c>
      <c r="G98" s="4">
        <v>100000</v>
      </c>
      <c r="H98" s="4">
        <v>0</v>
      </c>
      <c r="I98" s="4">
        <v>0</v>
      </c>
      <c r="J98" s="4">
        <v>0</v>
      </c>
      <c r="K98" s="4">
        <f t="shared" si="21"/>
        <v>0</v>
      </c>
      <c r="L98" s="154">
        <f t="shared" si="14"/>
        <v>0</v>
      </c>
      <c r="M98" s="154">
        <f t="shared" si="16"/>
        <v>500000</v>
      </c>
      <c r="N98" s="154"/>
      <c r="O98" s="4">
        <f t="shared" si="17"/>
        <v>0</v>
      </c>
      <c r="P98" s="4">
        <f t="shared" si="15"/>
        <v>100000</v>
      </c>
      <c r="Q98" s="4">
        <f>500000-100000</f>
        <v>400000</v>
      </c>
      <c r="R98" s="4"/>
      <c r="S98" s="154">
        <f t="shared" si="22"/>
        <v>400000</v>
      </c>
      <c r="T98" s="154">
        <v>0</v>
      </c>
      <c r="U98" s="154">
        <v>0</v>
      </c>
      <c r="V98" s="154">
        <v>0</v>
      </c>
      <c r="W98" s="4"/>
      <c r="X98" s="4"/>
      <c r="Y98" s="4"/>
      <c r="Z98" s="4"/>
      <c r="AA98" s="4"/>
      <c r="AB98" s="3" t="s">
        <v>870</v>
      </c>
      <c r="AC98" s="419">
        <v>850000</v>
      </c>
      <c r="AD98" s="154"/>
      <c r="AE98" s="154"/>
      <c r="AF98" s="154"/>
      <c r="AG98" s="154"/>
      <c r="AH98" s="154"/>
      <c r="AI98" s="154"/>
      <c r="AJ98" s="154"/>
      <c r="AK98" s="154"/>
      <c r="AL98" s="438"/>
      <c r="AM98" s="154">
        <v>0</v>
      </c>
      <c r="AN98" s="154">
        <v>0</v>
      </c>
      <c r="AO98" s="154">
        <v>0</v>
      </c>
      <c r="AP98" s="154"/>
      <c r="AQ98" s="154"/>
      <c r="AR98" s="154"/>
      <c r="AS98" s="154"/>
      <c r="AT98" s="154"/>
      <c r="AU98" s="154">
        <f t="shared" si="18"/>
        <v>0</v>
      </c>
      <c r="AV98" s="154"/>
      <c r="AW98" s="154"/>
      <c r="AX98" s="154"/>
      <c r="AY98" s="154"/>
      <c r="AZ98" s="154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7"/>
      <c r="BN98" s="147"/>
      <c r="BO98" s="147"/>
      <c r="BP98" s="147"/>
    </row>
    <row r="99" spans="1:68" s="5" customFormat="1" ht="31.95" customHeight="1">
      <c r="A99" s="153">
        <f t="shared" si="19"/>
        <v>95</v>
      </c>
      <c r="B99" s="28">
        <v>2208</v>
      </c>
      <c r="C99" s="3" t="s">
        <v>548</v>
      </c>
      <c r="D99" s="4">
        <v>500000</v>
      </c>
      <c r="E99" s="4">
        <v>500000</v>
      </c>
      <c r="F99" s="4">
        <f t="shared" si="13"/>
        <v>0</v>
      </c>
      <c r="G99" s="4">
        <v>100000</v>
      </c>
      <c r="H99" s="4">
        <v>0</v>
      </c>
      <c r="I99" s="4">
        <v>0</v>
      </c>
      <c r="J99" s="4">
        <v>0</v>
      </c>
      <c r="K99" s="4">
        <f t="shared" si="21"/>
        <v>0</v>
      </c>
      <c r="L99" s="154">
        <f t="shared" si="14"/>
        <v>0</v>
      </c>
      <c r="M99" s="154">
        <f t="shared" si="16"/>
        <v>500000</v>
      </c>
      <c r="N99" s="154"/>
      <c r="O99" s="4">
        <f t="shared" si="17"/>
        <v>0</v>
      </c>
      <c r="P99" s="4">
        <f t="shared" si="15"/>
        <v>100000</v>
      </c>
      <c r="Q99" s="4">
        <f>500000-100000</f>
        <v>400000</v>
      </c>
      <c r="R99" s="4"/>
      <c r="S99" s="154">
        <f t="shared" si="22"/>
        <v>400000</v>
      </c>
      <c r="T99" s="154">
        <v>0</v>
      </c>
      <c r="U99" s="154">
        <v>0</v>
      </c>
      <c r="V99" s="154">
        <v>0</v>
      </c>
      <c r="W99" s="4"/>
      <c r="X99" s="4"/>
      <c r="Y99" s="4"/>
      <c r="Z99" s="4"/>
      <c r="AA99" s="4"/>
      <c r="AB99" s="3" t="s">
        <v>625</v>
      </c>
      <c r="AC99" s="419">
        <v>850000</v>
      </c>
      <c r="AD99" s="154"/>
      <c r="AE99" s="154"/>
      <c r="AF99" s="154"/>
      <c r="AG99" s="154"/>
      <c r="AH99" s="154"/>
      <c r="AI99" s="154"/>
      <c r="AJ99" s="154"/>
      <c r="AK99" s="154"/>
      <c r="AL99" s="438"/>
      <c r="AM99" s="154">
        <v>0</v>
      </c>
      <c r="AN99" s="154">
        <v>0</v>
      </c>
      <c r="AO99" s="154">
        <v>0</v>
      </c>
      <c r="AP99" s="154"/>
      <c r="AQ99" s="154"/>
      <c r="AR99" s="154"/>
      <c r="AS99" s="154"/>
      <c r="AT99" s="154"/>
      <c r="AU99" s="154">
        <f t="shared" si="18"/>
        <v>0</v>
      </c>
      <c r="AV99" s="154"/>
      <c r="AW99" s="154"/>
      <c r="AX99" s="154"/>
      <c r="AY99" s="154"/>
      <c r="AZ99" s="154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47"/>
    </row>
    <row r="100" spans="1:68" s="5" customFormat="1" ht="31.95" customHeight="1">
      <c r="A100" s="153">
        <f t="shared" si="19"/>
        <v>96</v>
      </c>
      <c r="B100" s="28">
        <v>2209</v>
      </c>
      <c r="C100" s="3" t="s">
        <v>549</v>
      </c>
      <c r="D100" s="4">
        <v>46500000</v>
      </c>
      <c r="E100" s="4">
        <v>500000</v>
      </c>
      <c r="F100" s="4">
        <f t="shared" si="13"/>
        <v>46000000</v>
      </c>
      <c r="G100" s="4">
        <f>100000+50000</f>
        <v>150000</v>
      </c>
      <c r="H100" s="4">
        <v>25733</v>
      </c>
      <c r="I100" s="4">
        <v>0</v>
      </c>
      <c r="J100" s="4">
        <v>48679</v>
      </c>
      <c r="K100" s="4">
        <f t="shared" si="21"/>
        <v>48679</v>
      </c>
      <c r="L100" s="154">
        <f t="shared" si="14"/>
        <v>74412</v>
      </c>
      <c r="M100" s="154">
        <f t="shared" si="16"/>
        <v>425588</v>
      </c>
      <c r="N100" s="154">
        <f>30000000-29000000</f>
        <v>1000000</v>
      </c>
      <c r="O100" s="4">
        <f t="shared" si="17"/>
        <v>45000000</v>
      </c>
      <c r="P100" s="4">
        <f t="shared" si="15"/>
        <v>75588</v>
      </c>
      <c r="Q100" s="4">
        <f>400000-50000</f>
        <v>350000</v>
      </c>
      <c r="R100" s="4"/>
      <c r="S100" s="154">
        <f t="shared" si="22"/>
        <v>350000</v>
      </c>
      <c r="T100" s="154">
        <v>0</v>
      </c>
      <c r="U100" s="154">
        <v>1000000</v>
      </c>
      <c r="V100" s="154">
        <v>1000000</v>
      </c>
      <c r="W100" s="4"/>
      <c r="X100" s="4"/>
      <c r="Y100" s="4"/>
      <c r="Z100" s="4"/>
      <c r="AA100" s="4">
        <v>0</v>
      </c>
      <c r="AB100" s="28" t="s">
        <v>996</v>
      </c>
      <c r="AC100" s="3">
        <v>810000</v>
      </c>
      <c r="AD100" s="154"/>
      <c r="AE100" s="154"/>
      <c r="AF100" s="154"/>
      <c r="AG100" s="154"/>
      <c r="AH100" s="154"/>
      <c r="AI100" s="154"/>
      <c r="AJ100" s="154"/>
      <c r="AK100" s="154"/>
      <c r="AL100" s="438">
        <v>1000000</v>
      </c>
      <c r="AM100" s="154">
        <v>1000000</v>
      </c>
      <c r="AN100" s="154">
        <v>0</v>
      </c>
      <c r="AO100" s="154">
        <v>1000000</v>
      </c>
      <c r="AP100" s="154"/>
      <c r="AQ100" s="154"/>
      <c r="AR100" s="154"/>
      <c r="AS100" s="154"/>
      <c r="AT100" s="154"/>
      <c r="AU100" s="154">
        <f t="shared" si="18"/>
        <v>1000000</v>
      </c>
      <c r="AV100" s="154"/>
      <c r="AW100" s="154"/>
      <c r="AX100" s="154"/>
      <c r="AY100" s="154"/>
      <c r="AZ100" s="154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7"/>
    </row>
    <row r="101" spans="1:68" s="383" customFormat="1" ht="31.95" customHeight="1">
      <c r="A101" s="153">
        <f t="shared" si="19"/>
        <v>97</v>
      </c>
      <c r="B101" s="230">
        <v>2213</v>
      </c>
      <c r="C101" s="3" t="s">
        <v>508</v>
      </c>
      <c r="D101" s="4">
        <f>14850000-7750000</f>
        <v>7100000</v>
      </c>
      <c r="E101" s="4">
        <v>7100000</v>
      </c>
      <c r="F101" s="4">
        <f t="shared" si="13"/>
        <v>0</v>
      </c>
      <c r="G101" s="18">
        <v>0</v>
      </c>
      <c r="H101" s="18">
        <v>0</v>
      </c>
      <c r="I101" s="18">
        <v>0</v>
      </c>
      <c r="J101" s="18">
        <v>0</v>
      </c>
      <c r="K101" s="4">
        <f t="shared" ref="K101:K111" si="23">SUM(I101:J101)</f>
        <v>0</v>
      </c>
      <c r="L101" s="4">
        <f t="shared" si="14"/>
        <v>0</v>
      </c>
      <c r="M101" s="4">
        <f t="shared" si="16"/>
        <v>0</v>
      </c>
      <c r="N101" s="4">
        <f>7100000+7750000-7750000</f>
        <v>7100000</v>
      </c>
      <c r="O101" s="4">
        <f t="shared" si="17"/>
        <v>0</v>
      </c>
      <c r="P101" s="4">
        <f t="shared" si="15"/>
        <v>0</v>
      </c>
      <c r="Q101" s="18"/>
      <c r="R101" s="18"/>
      <c r="S101" s="4">
        <f>SUM(Q101:R101)</f>
        <v>0</v>
      </c>
      <c r="T101" s="4">
        <v>0</v>
      </c>
      <c r="U101" s="4">
        <v>7100000</v>
      </c>
      <c r="V101" s="4"/>
      <c r="W101" s="4">
        <v>0</v>
      </c>
      <c r="X101" s="4"/>
      <c r="Y101" s="4"/>
      <c r="Z101" s="4">
        <v>7100000</v>
      </c>
      <c r="AA101" s="4"/>
      <c r="AB101" s="3" t="s">
        <v>798</v>
      </c>
      <c r="AC101" s="3">
        <v>870000</v>
      </c>
      <c r="AD101" s="154"/>
      <c r="AE101" s="154"/>
      <c r="AF101" s="154"/>
      <c r="AG101" s="154"/>
      <c r="AH101" s="154">
        <v>7100000</v>
      </c>
      <c r="AI101" s="154"/>
      <c r="AJ101" s="154"/>
      <c r="AK101" s="154"/>
      <c r="AL101" s="438"/>
      <c r="AM101" s="154">
        <v>7100000</v>
      </c>
      <c r="AN101" s="154">
        <v>0</v>
      </c>
      <c r="AO101" s="154">
        <v>0</v>
      </c>
      <c r="AP101" s="154"/>
      <c r="AQ101" s="154"/>
      <c r="AR101" s="154"/>
      <c r="AS101" s="154">
        <v>7100000</v>
      </c>
      <c r="AT101" s="154"/>
      <c r="AU101" s="154">
        <f t="shared" si="18"/>
        <v>0</v>
      </c>
      <c r="AV101" s="154"/>
      <c r="AW101" s="154"/>
      <c r="AX101" s="154"/>
      <c r="AY101" s="154">
        <f>AQ101</f>
        <v>0</v>
      </c>
      <c r="AZ101" s="154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7"/>
      <c r="BN101" s="147"/>
      <c r="BO101" s="147"/>
      <c r="BP101" s="147"/>
    </row>
    <row r="102" spans="1:68" s="5" customFormat="1" ht="31.95" customHeight="1">
      <c r="A102" s="153">
        <f t="shared" si="19"/>
        <v>98</v>
      </c>
      <c r="B102" s="28">
        <v>2220</v>
      </c>
      <c r="C102" s="3" t="s">
        <v>524</v>
      </c>
      <c r="D102" s="4">
        <f>800000+200000</f>
        <v>1000000</v>
      </c>
      <c r="E102" s="4">
        <v>800000</v>
      </c>
      <c r="F102" s="4">
        <f t="shared" si="13"/>
        <v>200000</v>
      </c>
      <c r="G102" s="4">
        <v>0</v>
      </c>
      <c r="H102" s="4">
        <v>0</v>
      </c>
      <c r="I102" s="4">
        <v>0</v>
      </c>
      <c r="J102" s="4">
        <v>0</v>
      </c>
      <c r="K102" s="4">
        <f t="shared" si="23"/>
        <v>0</v>
      </c>
      <c r="L102" s="4">
        <f>H102+K102</f>
        <v>0</v>
      </c>
      <c r="M102" s="4">
        <f t="shared" si="16"/>
        <v>0</v>
      </c>
      <c r="N102" s="4">
        <v>1000000</v>
      </c>
      <c r="O102" s="4">
        <f t="shared" si="17"/>
        <v>0</v>
      </c>
      <c r="P102" s="4">
        <f t="shared" si="15"/>
        <v>0</v>
      </c>
      <c r="Q102" s="4"/>
      <c r="R102" s="4"/>
      <c r="S102" s="4">
        <f>SUM(Q102:R102)</f>
        <v>0</v>
      </c>
      <c r="T102" s="4">
        <v>0</v>
      </c>
      <c r="U102" s="4">
        <v>1000000</v>
      </c>
      <c r="V102" s="4">
        <v>1000000</v>
      </c>
      <c r="W102" s="4"/>
      <c r="X102" s="4"/>
      <c r="Y102" s="4"/>
      <c r="Z102" s="4"/>
      <c r="AA102" s="4"/>
      <c r="AB102" s="3" t="s">
        <v>795</v>
      </c>
      <c r="AC102" s="3">
        <v>746000</v>
      </c>
      <c r="AD102" s="154"/>
      <c r="AE102" s="154"/>
      <c r="AF102" s="154"/>
      <c r="AG102" s="154">
        <v>50000</v>
      </c>
      <c r="AH102" s="154"/>
      <c r="AI102" s="154"/>
      <c r="AJ102" s="154"/>
      <c r="AK102" s="154"/>
      <c r="AL102" s="438">
        <v>950000</v>
      </c>
      <c r="AM102" s="154">
        <v>1000000</v>
      </c>
      <c r="AN102" s="154">
        <v>0</v>
      </c>
      <c r="AO102" s="154">
        <v>1000000</v>
      </c>
      <c r="AP102" s="154"/>
      <c r="AQ102" s="154"/>
      <c r="AR102" s="154"/>
      <c r="AS102" s="154"/>
      <c r="AT102" s="154"/>
      <c r="AU102" s="154">
        <f t="shared" si="18"/>
        <v>950000</v>
      </c>
      <c r="AV102" s="154"/>
      <c r="AW102" s="154"/>
      <c r="AX102" s="154"/>
      <c r="AY102" s="154"/>
      <c r="AZ102" s="154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47"/>
      <c r="BN102" s="147"/>
      <c r="BO102" s="147"/>
      <c r="BP102" s="147"/>
    </row>
    <row r="103" spans="1:68" s="5" customFormat="1" ht="31.95" customHeight="1">
      <c r="A103" s="153">
        <f t="shared" si="19"/>
        <v>99</v>
      </c>
      <c r="B103" s="28">
        <v>20010</v>
      </c>
      <c r="C103" s="3" t="s">
        <v>752</v>
      </c>
      <c r="D103" s="4">
        <v>7000000</v>
      </c>
      <c r="E103" s="4"/>
      <c r="F103" s="4">
        <f t="shared" si="13"/>
        <v>7000000</v>
      </c>
      <c r="G103" s="4">
        <v>0</v>
      </c>
      <c r="H103" s="4">
        <v>0</v>
      </c>
      <c r="I103" s="4">
        <v>0</v>
      </c>
      <c r="J103" s="4">
        <v>0</v>
      </c>
      <c r="K103" s="4">
        <f t="shared" si="23"/>
        <v>0</v>
      </c>
      <c r="L103" s="4">
        <f t="shared" ref="L103:L111" si="24">H103+K103</f>
        <v>0</v>
      </c>
      <c r="M103" s="4">
        <f t="shared" si="16"/>
        <v>0</v>
      </c>
      <c r="N103" s="4">
        <v>500000</v>
      </c>
      <c r="O103" s="4">
        <f t="shared" si="17"/>
        <v>6500000</v>
      </c>
      <c r="P103" s="4">
        <f t="shared" si="15"/>
        <v>0</v>
      </c>
      <c r="Q103" s="4"/>
      <c r="R103" s="4"/>
      <c r="S103" s="4">
        <f t="shared" ref="S103:S111" si="25">SUM(Q103:R103)</f>
        <v>0</v>
      </c>
      <c r="T103" s="4">
        <v>0</v>
      </c>
      <c r="U103" s="4">
        <v>500000</v>
      </c>
      <c r="V103" s="4">
        <v>500000</v>
      </c>
      <c r="W103" s="4"/>
      <c r="X103" s="4"/>
      <c r="Y103" s="4"/>
      <c r="Z103" s="4"/>
      <c r="AA103" s="4"/>
      <c r="AB103" s="3" t="s">
        <v>821</v>
      </c>
      <c r="AC103" s="3">
        <v>810000</v>
      </c>
      <c r="AD103" s="154"/>
      <c r="AE103" s="154"/>
      <c r="AF103" s="154"/>
      <c r="AG103" s="154"/>
      <c r="AH103" s="154"/>
      <c r="AI103" s="154"/>
      <c r="AJ103" s="154"/>
      <c r="AK103" s="154"/>
      <c r="AL103" s="438">
        <v>500000</v>
      </c>
      <c r="AM103" s="154">
        <v>500000</v>
      </c>
      <c r="AN103" s="154">
        <v>0</v>
      </c>
      <c r="AO103" s="154">
        <v>500000</v>
      </c>
      <c r="AP103" s="154"/>
      <c r="AQ103" s="154"/>
      <c r="AR103" s="154"/>
      <c r="AS103" s="154"/>
      <c r="AT103" s="154"/>
      <c r="AU103" s="154">
        <f t="shared" si="18"/>
        <v>500000</v>
      </c>
      <c r="AV103" s="154"/>
      <c r="AW103" s="154"/>
      <c r="AX103" s="154"/>
      <c r="AY103" s="154"/>
      <c r="AZ103" s="154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47"/>
      <c r="BN103" s="147"/>
      <c r="BO103" s="147"/>
      <c r="BP103" s="147"/>
    </row>
    <row r="104" spans="1:68" s="5" customFormat="1" ht="31.95" customHeight="1">
      <c r="A104" s="153">
        <f t="shared" si="19"/>
        <v>100</v>
      </c>
      <c r="B104" s="28">
        <v>20011</v>
      </c>
      <c r="C104" s="3" t="s">
        <v>753</v>
      </c>
      <c r="D104" s="4">
        <v>18500000</v>
      </c>
      <c r="E104" s="4"/>
      <c r="F104" s="4">
        <f t="shared" si="13"/>
        <v>18500000</v>
      </c>
      <c r="G104" s="4">
        <v>0</v>
      </c>
      <c r="H104" s="4">
        <v>0</v>
      </c>
      <c r="I104" s="4">
        <v>0</v>
      </c>
      <c r="J104" s="4">
        <v>0</v>
      </c>
      <c r="K104" s="4">
        <f t="shared" si="23"/>
        <v>0</v>
      </c>
      <c r="L104" s="4">
        <f t="shared" si="24"/>
        <v>0</v>
      </c>
      <c r="M104" s="4">
        <f t="shared" si="16"/>
        <v>0</v>
      </c>
      <c r="N104" s="4">
        <f>8500000-8000000</f>
        <v>500000</v>
      </c>
      <c r="O104" s="4">
        <f t="shared" si="17"/>
        <v>18000000</v>
      </c>
      <c r="P104" s="4">
        <f t="shared" si="15"/>
        <v>0</v>
      </c>
      <c r="Q104" s="4"/>
      <c r="R104" s="4"/>
      <c r="S104" s="4">
        <f t="shared" si="25"/>
        <v>0</v>
      </c>
      <c r="T104" s="4">
        <v>0</v>
      </c>
      <c r="U104" s="4">
        <v>500000</v>
      </c>
      <c r="V104" s="4">
        <v>500000</v>
      </c>
      <c r="W104" s="4"/>
      <c r="X104" s="4"/>
      <c r="Y104" s="4"/>
      <c r="Z104" s="4"/>
      <c r="AA104" s="4">
        <v>0</v>
      </c>
      <c r="AB104" s="3" t="s">
        <v>788</v>
      </c>
      <c r="AC104" s="3">
        <v>810000</v>
      </c>
      <c r="AD104" s="154"/>
      <c r="AE104" s="154"/>
      <c r="AF104" s="154"/>
      <c r="AG104" s="154"/>
      <c r="AH104" s="154"/>
      <c r="AI104" s="154">
        <v>50000</v>
      </c>
      <c r="AJ104" s="154"/>
      <c r="AK104" s="154">
        <v>150000</v>
      </c>
      <c r="AL104" s="438">
        <v>300000</v>
      </c>
      <c r="AM104" s="154">
        <v>500000</v>
      </c>
      <c r="AN104" s="154">
        <v>0</v>
      </c>
      <c r="AO104" s="154">
        <v>500000</v>
      </c>
      <c r="AP104" s="154"/>
      <c r="AQ104" s="154"/>
      <c r="AR104" s="154"/>
      <c r="AS104" s="154"/>
      <c r="AT104" s="154"/>
      <c r="AU104" s="154">
        <f t="shared" si="18"/>
        <v>300000</v>
      </c>
      <c r="AV104" s="154"/>
      <c r="AW104" s="154"/>
      <c r="AX104" s="154"/>
      <c r="AY104" s="154"/>
      <c r="AZ104" s="154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7"/>
      <c r="BN104" s="147"/>
      <c r="BO104" s="147"/>
      <c r="BP104" s="147"/>
    </row>
    <row r="105" spans="1:68" s="5" customFormat="1" ht="31.95" customHeight="1">
      <c r="A105" s="153">
        <f t="shared" si="19"/>
        <v>101</v>
      </c>
      <c r="B105" s="28">
        <v>20012</v>
      </c>
      <c r="C105" s="3" t="s">
        <v>1217</v>
      </c>
      <c r="D105" s="4">
        <v>7000000</v>
      </c>
      <c r="E105" s="4"/>
      <c r="F105" s="4">
        <f t="shared" si="13"/>
        <v>7000000</v>
      </c>
      <c r="G105" s="4">
        <v>0</v>
      </c>
      <c r="H105" s="4">
        <v>0</v>
      </c>
      <c r="I105" s="4">
        <v>0</v>
      </c>
      <c r="J105" s="4">
        <v>0</v>
      </c>
      <c r="K105" s="4">
        <f t="shared" si="23"/>
        <v>0</v>
      </c>
      <c r="L105" s="4">
        <f t="shared" si="24"/>
        <v>0</v>
      </c>
      <c r="M105" s="4">
        <f t="shared" si="16"/>
        <v>0</v>
      </c>
      <c r="N105" s="4">
        <f>7000000-6500000</f>
        <v>500000</v>
      </c>
      <c r="O105" s="4">
        <f t="shared" si="17"/>
        <v>6500000</v>
      </c>
      <c r="P105" s="4">
        <f t="shared" si="15"/>
        <v>0</v>
      </c>
      <c r="Q105" s="4"/>
      <c r="R105" s="4"/>
      <c r="S105" s="4">
        <f t="shared" si="25"/>
        <v>0</v>
      </c>
      <c r="T105" s="4">
        <v>0</v>
      </c>
      <c r="U105" s="4">
        <v>500000</v>
      </c>
      <c r="V105" s="4">
        <v>500000</v>
      </c>
      <c r="W105" s="4"/>
      <c r="X105" s="4"/>
      <c r="Y105" s="4"/>
      <c r="Z105" s="4"/>
      <c r="AA105" s="4">
        <v>0</v>
      </c>
      <c r="AB105" s="3" t="s">
        <v>789</v>
      </c>
      <c r="AC105" s="3">
        <v>810000</v>
      </c>
      <c r="AD105" s="154"/>
      <c r="AE105" s="154"/>
      <c r="AF105" s="154"/>
      <c r="AG105" s="154"/>
      <c r="AH105" s="154"/>
      <c r="AI105" s="154">
        <v>100000</v>
      </c>
      <c r="AJ105" s="154"/>
      <c r="AK105" s="154"/>
      <c r="AL105" s="438">
        <v>100000</v>
      </c>
      <c r="AM105" s="154">
        <v>200000</v>
      </c>
      <c r="AN105" s="154">
        <v>300000</v>
      </c>
      <c r="AO105" s="154">
        <v>200000</v>
      </c>
      <c r="AP105" s="154"/>
      <c r="AQ105" s="154"/>
      <c r="AR105" s="154"/>
      <c r="AS105" s="154"/>
      <c r="AT105" s="154"/>
      <c r="AU105" s="154">
        <f t="shared" si="18"/>
        <v>100000</v>
      </c>
      <c r="AV105" s="154"/>
      <c r="AW105" s="154"/>
      <c r="AX105" s="154"/>
      <c r="AY105" s="154"/>
      <c r="AZ105" s="154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7"/>
      <c r="BN105" s="147"/>
      <c r="BO105" s="147"/>
      <c r="BP105" s="147"/>
    </row>
    <row r="106" spans="1:68" s="5" customFormat="1" ht="31.95" customHeight="1">
      <c r="A106" s="153">
        <f t="shared" si="19"/>
        <v>102</v>
      </c>
      <c r="B106" s="28">
        <v>20013</v>
      </c>
      <c r="C106" s="3" t="s">
        <v>754</v>
      </c>
      <c r="D106" s="4">
        <v>500000</v>
      </c>
      <c r="E106" s="4"/>
      <c r="F106" s="4">
        <f t="shared" si="13"/>
        <v>500000</v>
      </c>
      <c r="G106" s="4">
        <v>0</v>
      </c>
      <c r="H106" s="4">
        <v>0</v>
      </c>
      <c r="I106" s="4">
        <v>0</v>
      </c>
      <c r="J106" s="4">
        <v>0</v>
      </c>
      <c r="K106" s="4">
        <f t="shared" si="23"/>
        <v>0</v>
      </c>
      <c r="L106" s="4">
        <f t="shared" si="24"/>
        <v>0</v>
      </c>
      <c r="M106" s="4">
        <f t="shared" si="16"/>
        <v>0</v>
      </c>
      <c r="N106" s="4">
        <v>500000</v>
      </c>
      <c r="O106" s="4">
        <f t="shared" si="17"/>
        <v>0</v>
      </c>
      <c r="P106" s="4">
        <f t="shared" si="15"/>
        <v>0</v>
      </c>
      <c r="Q106" s="4"/>
      <c r="R106" s="4"/>
      <c r="S106" s="4">
        <f t="shared" si="25"/>
        <v>0</v>
      </c>
      <c r="T106" s="4">
        <v>0</v>
      </c>
      <c r="U106" s="4">
        <v>500000</v>
      </c>
      <c r="V106" s="4">
        <v>500000</v>
      </c>
      <c r="W106" s="4"/>
      <c r="X106" s="4"/>
      <c r="Y106" s="4"/>
      <c r="Z106" s="4"/>
      <c r="AA106" s="4"/>
      <c r="AB106" s="3" t="s">
        <v>790</v>
      </c>
      <c r="AC106" s="3">
        <v>810000</v>
      </c>
      <c r="AD106" s="154"/>
      <c r="AE106" s="154"/>
      <c r="AF106" s="154"/>
      <c r="AG106" s="154"/>
      <c r="AH106" s="154"/>
      <c r="AI106" s="154">
        <v>150000</v>
      </c>
      <c r="AJ106" s="154"/>
      <c r="AK106" s="154"/>
      <c r="AL106" s="438"/>
      <c r="AM106" s="154">
        <v>150000</v>
      </c>
      <c r="AN106" s="154">
        <v>350000</v>
      </c>
      <c r="AO106" s="154">
        <v>150000</v>
      </c>
      <c r="AP106" s="154"/>
      <c r="AQ106" s="154"/>
      <c r="AR106" s="154"/>
      <c r="AS106" s="154"/>
      <c r="AT106" s="154"/>
      <c r="AU106" s="154">
        <f t="shared" si="18"/>
        <v>0</v>
      </c>
      <c r="AV106" s="154"/>
      <c r="AW106" s="154"/>
      <c r="AX106" s="154"/>
      <c r="AY106" s="154"/>
      <c r="AZ106" s="154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7"/>
      <c r="BN106" s="147"/>
      <c r="BO106" s="147"/>
      <c r="BP106" s="147"/>
    </row>
    <row r="107" spans="1:68" s="5" customFormat="1" ht="31.95" customHeight="1">
      <c r="A107" s="153">
        <f t="shared" si="19"/>
        <v>103</v>
      </c>
      <c r="B107" s="28">
        <v>20014</v>
      </c>
      <c r="C107" s="3" t="s">
        <v>755</v>
      </c>
      <c r="D107" s="4">
        <v>200000</v>
      </c>
      <c r="E107" s="4"/>
      <c r="F107" s="4">
        <f t="shared" si="13"/>
        <v>200000</v>
      </c>
      <c r="G107" s="4">
        <v>0</v>
      </c>
      <c r="H107" s="4">
        <v>0</v>
      </c>
      <c r="I107" s="4">
        <v>0</v>
      </c>
      <c r="J107" s="4">
        <v>0</v>
      </c>
      <c r="K107" s="4">
        <f t="shared" si="23"/>
        <v>0</v>
      </c>
      <c r="L107" s="4">
        <f t="shared" si="24"/>
        <v>0</v>
      </c>
      <c r="M107" s="4">
        <f t="shared" si="16"/>
        <v>0</v>
      </c>
      <c r="N107" s="4">
        <v>200000</v>
      </c>
      <c r="O107" s="4">
        <f t="shared" si="17"/>
        <v>0</v>
      </c>
      <c r="P107" s="4">
        <f t="shared" si="15"/>
        <v>0</v>
      </c>
      <c r="Q107" s="4"/>
      <c r="R107" s="4"/>
      <c r="S107" s="4">
        <f t="shared" si="25"/>
        <v>0</v>
      </c>
      <c r="T107" s="4">
        <v>0</v>
      </c>
      <c r="U107" s="4">
        <v>200000</v>
      </c>
      <c r="V107" s="4">
        <v>200000</v>
      </c>
      <c r="W107" s="4"/>
      <c r="X107" s="4"/>
      <c r="Y107" s="4"/>
      <c r="Z107" s="4"/>
      <c r="AA107" s="4"/>
      <c r="AB107" s="3" t="s">
        <v>791</v>
      </c>
      <c r="AC107" s="3">
        <v>829000</v>
      </c>
      <c r="AD107" s="154"/>
      <c r="AE107" s="154"/>
      <c r="AF107" s="154"/>
      <c r="AG107" s="154"/>
      <c r="AH107" s="154">
        <v>100000</v>
      </c>
      <c r="AI107" s="154"/>
      <c r="AJ107" s="154"/>
      <c r="AK107" s="154"/>
      <c r="AL107" s="438"/>
      <c r="AM107" s="154">
        <v>100000</v>
      </c>
      <c r="AN107" s="154">
        <v>100000</v>
      </c>
      <c r="AO107" s="154">
        <v>100000</v>
      </c>
      <c r="AP107" s="154"/>
      <c r="AQ107" s="154"/>
      <c r="AR107" s="154"/>
      <c r="AS107" s="154"/>
      <c r="AT107" s="154"/>
      <c r="AU107" s="154">
        <f t="shared" si="18"/>
        <v>0</v>
      </c>
      <c r="AV107" s="154"/>
      <c r="AW107" s="154"/>
      <c r="AX107" s="154"/>
      <c r="AY107" s="154"/>
      <c r="AZ107" s="154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7"/>
      <c r="BN107" s="147"/>
      <c r="BO107" s="147"/>
      <c r="BP107" s="147"/>
    </row>
    <row r="108" spans="1:68" s="5" customFormat="1" ht="31.95" customHeight="1">
      <c r="A108" s="153">
        <f t="shared" si="19"/>
        <v>104</v>
      </c>
      <c r="B108" s="28">
        <v>20015</v>
      </c>
      <c r="C108" s="3" t="s">
        <v>756</v>
      </c>
      <c r="D108" s="4">
        <v>2000000</v>
      </c>
      <c r="E108" s="4"/>
      <c r="F108" s="4">
        <f t="shared" si="13"/>
        <v>2000000</v>
      </c>
      <c r="G108" s="4">
        <v>0</v>
      </c>
      <c r="H108" s="4">
        <v>0</v>
      </c>
      <c r="I108" s="4">
        <v>0</v>
      </c>
      <c r="J108" s="4">
        <v>0</v>
      </c>
      <c r="K108" s="4">
        <f t="shared" si="23"/>
        <v>0</v>
      </c>
      <c r="L108" s="4">
        <f t="shared" si="24"/>
        <v>0</v>
      </c>
      <c r="M108" s="4">
        <f t="shared" si="16"/>
        <v>0</v>
      </c>
      <c r="N108" s="4">
        <f>2000000-500000</f>
        <v>1500000</v>
      </c>
      <c r="O108" s="4">
        <f t="shared" si="17"/>
        <v>500000</v>
      </c>
      <c r="P108" s="4">
        <f t="shared" si="15"/>
        <v>0</v>
      </c>
      <c r="Q108" s="4"/>
      <c r="R108" s="4"/>
      <c r="S108" s="4">
        <f t="shared" si="25"/>
        <v>0</v>
      </c>
      <c r="T108" s="4">
        <v>0</v>
      </c>
      <c r="U108" s="4">
        <v>1500000</v>
      </c>
      <c r="V108" s="4">
        <v>1500000</v>
      </c>
      <c r="W108" s="4"/>
      <c r="X108" s="4"/>
      <c r="Y108" s="4"/>
      <c r="Z108" s="4"/>
      <c r="AA108" s="4"/>
      <c r="AB108" s="3" t="s">
        <v>805</v>
      </c>
      <c r="AC108" s="3">
        <v>829000</v>
      </c>
      <c r="AD108" s="154"/>
      <c r="AE108" s="154"/>
      <c r="AF108" s="154"/>
      <c r="AG108" s="154">
        <v>100000</v>
      </c>
      <c r="AH108" s="154"/>
      <c r="AI108" s="154"/>
      <c r="AJ108" s="154"/>
      <c r="AK108" s="154">
        <v>1000000</v>
      </c>
      <c r="AL108" s="438">
        <v>400000</v>
      </c>
      <c r="AM108" s="154">
        <v>1500000</v>
      </c>
      <c r="AN108" s="154">
        <v>0</v>
      </c>
      <c r="AO108" s="154">
        <v>1500000</v>
      </c>
      <c r="AP108" s="154"/>
      <c r="AQ108" s="154"/>
      <c r="AR108" s="154"/>
      <c r="AS108" s="154"/>
      <c r="AT108" s="154"/>
      <c r="AU108" s="154">
        <f t="shared" si="18"/>
        <v>400000</v>
      </c>
      <c r="AV108" s="154"/>
      <c r="AW108" s="154"/>
      <c r="AX108" s="154"/>
      <c r="AY108" s="154"/>
      <c r="AZ108" s="154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7"/>
      <c r="BN108" s="147"/>
      <c r="BO108" s="147"/>
      <c r="BP108" s="147"/>
    </row>
    <row r="109" spans="1:68" s="5" customFormat="1" ht="31.95" customHeight="1">
      <c r="A109" s="153">
        <f t="shared" si="19"/>
        <v>105</v>
      </c>
      <c r="B109" s="28">
        <v>20016</v>
      </c>
      <c r="C109" s="3" t="s">
        <v>802</v>
      </c>
      <c r="D109" s="4">
        <f>500000+200000</f>
        <v>700000</v>
      </c>
      <c r="E109" s="4"/>
      <c r="F109" s="4">
        <f t="shared" si="13"/>
        <v>700000</v>
      </c>
      <c r="G109" s="4">
        <v>0</v>
      </c>
      <c r="H109" s="4">
        <v>0</v>
      </c>
      <c r="I109" s="4">
        <v>0</v>
      </c>
      <c r="J109" s="4">
        <v>0</v>
      </c>
      <c r="K109" s="4">
        <f t="shared" si="23"/>
        <v>0</v>
      </c>
      <c r="L109" s="4">
        <f t="shared" si="24"/>
        <v>0</v>
      </c>
      <c r="M109" s="4">
        <f t="shared" si="16"/>
        <v>0</v>
      </c>
      <c r="N109" s="4">
        <f>500000+200000-200000</f>
        <v>500000</v>
      </c>
      <c r="O109" s="4">
        <f t="shared" si="17"/>
        <v>200000</v>
      </c>
      <c r="P109" s="4">
        <f t="shared" si="15"/>
        <v>0</v>
      </c>
      <c r="Q109" s="4"/>
      <c r="R109" s="4"/>
      <c r="S109" s="4">
        <f t="shared" si="25"/>
        <v>0</v>
      </c>
      <c r="T109" s="4">
        <v>0</v>
      </c>
      <c r="U109" s="4">
        <v>500000</v>
      </c>
      <c r="V109" s="4">
        <v>500000</v>
      </c>
      <c r="W109" s="4"/>
      <c r="X109" s="4"/>
      <c r="Y109" s="4"/>
      <c r="Z109" s="4"/>
      <c r="AA109" s="4"/>
      <c r="AB109" s="3" t="s">
        <v>799</v>
      </c>
      <c r="AC109" s="3">
        <v>826000</v>
      </c>
      <c r="AD109" s="154"/>
      <c r="AE109" s="154"/>
      <c r="AF109" s="154"/>
      <c r="AG109" s="154"/>
      <c r="AH109" s="154">
        <v>150000</v>
      </c>
      <c r="AI109" s="154"/>
      <c r="AJ109" s="154"/>
      <c r="AK109" s="154"/>
      <c r="AL109" s="438">
        <v>350000</v>
      </c>
      <c r="AM109" s="154">
        <v>500000</v>
      </c>
      <c r="AN109" s="154">
        <v>0</v>
      </c>
      <c r="AO109" s="154">
        <v>500000</v>
      </c>
      <c r="AP109" s="154"/>
      <c r="AQ109" s="154"/>
      <c r="AR109" s="154"/>
      <c r="AS109" s="154"/>
      <c r="AT109" s="154"/>
      <c r="AU109" s="154">
        <f t="shared" si="18"/>
        <v>350000</v>
      </c>
      <c r="AV109" s="154"/>
      <c r="AW109" s="154"/>
      <c r="AX109" s="154"/>
      <c r="AY109" s="154"/>
      <c r="AZ109" s="154"/>
      <c r="BA109" s="147"/>
      <c r="BB109" s="147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</row>
    <row r="110" spans="1:68" s="5" customFormat="1" ht="31.95" customHeight="1">
      <c r="A110" s="153">
        <f t="shared" si="19"/>
        <v>106</v>
      </c>
      <c r="B110" s="28">
        <v>20017</v>
      </c>
      <c r="C110" s="3" t="s">
        <v>803</v>
      </c>
      <c r="D110" s="4">
        <v>500000</v>
      </c>
      <c r="E110" s="4"/>
      <c r="F110" s="4">
        <f>D110-E110</f>
        <v>500000</v>
      </c>
      <c r="G110" s="4">
        <v>0</v>
      </c>
      <c r="H110" s="4">
        <v>0</v>
      </c>
      <c r="I110" s="4">
        <v>0</v>
      </c>
      <c r="J110" s="4">
        <v>0</v>
      </c>
      <c r="K110" s="4">
        <f t="shared" si="23"/>
        <v>0</v>
      </c>
      <c r="L110" s="4">
        <f>H110+K110</f>
        <v>0</v>
      </c>
      <c r="M110" s="4">
        <f>P110+S110</f>
        <v>0</v>
      </c>
      <c r="N110" s="4">
        <v>100000</v>
      </c>
      <c r="O110" s="4">
        <f>D110-L110-M110-N110</f>
        <v>400000</v>
      </c>
      <c r="P110" s="4">
        <f>G110-L110</f>
        <v>0</v>
      </c>
      <c r="Q110" s="4"/>
      <c r="R110" s="4"/>
      <c r="S110" s="4">
        <f>SUM(Q110:R110)</f>
        <v>0</v>
      </c>
      <c r="T110" s="4">
        <v>0</v>
      </c>
      <c r="U110" s="4">
        <v>100000</v>
      </c>
      <c r="V110" s="4">
        <v>100000</v>
      </c>
      <c r="W110" s="4"/>
      <c r="X110" s="4"/>
      <c r="Y110" s="4"/>
      <c r="Z110" s="4"/>
      <c r="AA110" s="4"/>
      <c r="AB110" s="3" t="s">
        <v>997</v>
      </c>
      <c r="AC110" s="3">
        <v>850000</v>
      </c>
      <c r="AD110" s="154"/>
      <c r="AE110" s="154"/>
      <c r="AF110" s="154"/>
      <c r="AG110" s="154"/>
      <c r="AH110" s="154">
        <v>100000</v>
      </c>
      <c r="AI110" s="154"/>
      <c r="AJ110" s="154"/>
      <c r="AK110" s="154"/>
      <c r="AL110" s="438"/>
      <c r="AM110" s="154">
        <v>100000</v>
      </c>
      <c r="AN110" s="154">
        <v>0</v>
      </c>
      <c r="AO110" s="154">
        <v>100000</v>
      </c>
      <c r="AP110" s="154"/>
      <c r="AQ110" s="154"/>
      <c r="AR110" s="154"/>
      <c r="AS110" s="154"/>
      <c r="AT110" s="154"/>
      <c r="AU110" s="154">
        <f t="shared" si="18"/>
        <v>0</v>
      </c>
      <c r="AV110" s="154"/>
      <c r="AW110" s="154"/>
      <c r="AX110" s="154"/>
      <c r="AY110" s="154"/>
      <c r="AZ110" s="154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7"/>
      <c r="BL110" s="147"/>
      <c r="BM110" s="147"/>
      <c r="BN110" s="147"/>
      <c r="BO110" s="147"/>
      <c r="BP110" s="147"/>
    </row>
    <row r="111" spans="1:68" s="5" customFormat="1" ht="31.95" customHeight="1">
      <c r="A111" s="153">
        <f t="shared" si="19"/>
        <v>107</v>
      </c>
      <c r="B111" s="28">
        <v>20018</v>
      </c>
      <c r="C111" s="3" t="s">
        <v>800</v>
      </c>
      <c r="D111" s="4">
        <v>150000</v>
      </c>
      <c r="E111" s="4"/>
      <c r="F111" s="4">
        <f t="shared" si="13"/>
        <v>150000</v>
      </c>
      <c r="G111" s="4">
        <v>0</v>
      </c>
      <c r="H111" s="4">
        <v>0</v>
      </c>
      <c r="I111" s="4">
        <v>0</v>
      </c>
      <c r="J111" s="4">
        <v>0</v>
      </c>
      <c r="K111" s="4">
        <f t="shared" si="23"/>
        <v>0</v>
      </c>
      <c r="L111" s="4">
        <f t="shared" si="24"/>
        <v>0</v>
      </c>
      <c r="M111" s="4">
        <f t="shared" si="16"/>
        <v>0</v>
      </c>
      <c r="N111" s="4">
        <v>150000</v>
      </c>
      <c r="O111" s="4">
        <f t="shared" si="17"/>
        <v>0</v>
      </c>
      <c r="P111" s="4">
        <f t="shared" si="15"/>
        <v>0</v>
      </c>
      <c r="Q111" s="4"/>
      <c r="R111" s="4"/>
      <c r="S111" s="4">
        <f t="shared" si="25"/>
        <v>0</v>
      </c>
      <c r="T111" s="4">
        <v>0</v>
      </c>
      <c r="U111" s="4">
        <v>150000</v>
      </c>
      <c r="V111" s="4">
        <v>150000</v>
      </c>
      <c r="W111" s="4"/>
      <c r="X111" s="4"/>
      <c r="Y111" s="4"/>
      <c r="Z111" s="4"/>
      <c r="AA111" s="4"/>
      <c r="AB111" s="3" t="s">
        <v>801</v>
      </c>
      <c r="AC111" s="3">
        <v>826000</v>
      </c>
      <c r="AD111" s="154"/>
      <c r="AE111" s="154"/>
      <c r="AF111" s="154"/>
      <c r="AG111" s="154"/>
      <c r="AH111" s="154"/>
      <c r="AI111" s="154">
        <v>150000</v>
      </c>
      <c r="AJ111" s="154"/>
      <c r="AK111" s="154"/>
      <c r="AL111" s="438"/>
      <c r="AM111" s="154">
        <v>150000</v>
      </c>
      <c r="AN111" s="154">
        <v>0</v>
      </c>
      <c r="AO111" s="154">
        <v>150000</v>
      </c>
      <c r="AP111" s="154"/>
      <c r="AQ111" s="154"/>
      <c r="AR111" s="154"/>
      <c r="AS111" s="154"/>
      <c r="AT111" s="154"/>
      <c r="AU111" s="154">
        <f t="shared" si="18"/>
        <v>0</v>
      </c>
      <c r="AV111" s="154"/>
      <c r="AW111" s="154"/>
      <c r="AX111" s="154"/>
      <c r="AY111" s="154"/>
      <c r="AZ111" s="154"/>
      <c r="BA111" s="147"/>
      <c r="BB111" s="147"/>
      <c r="BC111" s="147"/>
      <c r="BD111" s="147"/>
      <c r="BE111" s="147"/>
      <c r="BF111" s="147"/>
      <c r="BG111" s="147"/>
      <c r="BH111" s="147"/>
      <c r="BI111" s="147"/>
      <c r="BJ111" s="147"/>
      <c r="BK111" s="147"/>
      <c r="BL111" s="147"/>
      <c r="BM111" s="147"/>
      <c r="BN111" s="147"/>
      <c r="BO111" s="147"/>
      <c r="BP111" s="147"/>
    </row>
    <row r="112" spans="1:68" s="244" customFormat="1" ht="31.95" customHeight="1">
      <c r="A112" s="159"/>
      <c r="B112" s="243"/>
      <c r="C112" s="159" t="s">
        <v>176</v>
      </c>
      <c r="D112" s="160">
        <f t="shared" ref="D112:S112" si="26">SUM(D5:D111)</f>
        <v>2196063843</v>
      </c>
      <c r="E112" s="160">
        <f t="shared" si="26"/>
        <v>2001644187</v>
      </c>
      <c r="F112" s="160">
        <f t="shared" si="26"/>
        <v>194419656</v>
      </c>
      <c r="G112" s="160">
        <f t="shared" si="26"/>
        <v>917940342</v>
      </c>
      <c r="H112" s="160">
        <f t="shared" si="26"/>
        <v>761689266</v>
      </c>
      <c r="I112" s="160">
        <f t="shared" si="26"/>
        <v>3316292</v>
      </c>
      <c r="J112" s="160">
        <f t="shared" si="26"/>
        <v>36255668</v>
      </c>
      <c r="K112" s="160">
        <f t="shared" si="26"/>
        <v>39571960</v>
      </c>
      <c r="L112" s="160">
        <f t="shared" si="26"/>
        <v>801261226</v>
      </c>
      <c r="M112" s="160">
        <f t="shared" si="26"/>
        <v>247736582</v>
      </c>
      <c r="N112" s="160">
        <f t="shared" si="26"/>
        <v>163127549</v>
      </c>
      <c r="O112" s="160">
        <f t="shared" si="26"/>
        <v>983938486</v>
      </c>
      <c r="P112" s="160">
        <f t="shared" si="26"/>
        <v>116679116</v>
      </c>
      <c r="Q112" s="160">
        <f t="shared" si="26"/>
        <v>125060000</v>
      </c>
      <c r="R112" s="160">
        <f t="shared" si="26"/>
        <v>12861802</v>
      </c>
      <c r="S112" s="160">
        <f t="shared" si="26"/>
        <v>137921802</v>
      </c>
      <c r="T112" s="160">
        <v>6864336</v>
      </c>
      <c r="U112" s="160">
        <v>156263213</v>
      </c>
      <c r="V112" s="160">
        <v>93560980</v>
      </c>
      <c r="W112" s="160">
        <v>1500000</v>
      </c>
      <c r="X112" s="160">
        <v>0</v>
      </c>
      <c r="Y112" s="160">
        <v>0</v>
      </c>
      <c r="Z112" s="160">
        <v>7100000</v>
      </c>
      <c r="AA112" s="160">
        <v>54102233</v>
      </c>
      <c r="AB112" s="160">
        <v>0</v>
      </c>
      <c r="AC112" s="160"/>
      <c r="AD112" s="160">
        <v>0</v>
      </c>
      <c r="AE112" s="160">
        <v>0</v>
      </c>
      <c r="AF112" s="160">
        <v>-2724997</v>
      </c>
      <c r="AG112" s="160">
        <v>2485664</v>
      </c>
      <c r="AH112" s="160">
        <v>20613551</v>
      </c>
      <c r="AI112" s="160">
        <v>550000</v>
      </c>
      <c r="AJ112" s="160">
        <v>7387327</v>
      </c>
      <c r="AK112" s="160">
        <v>8413032</v>
      </c>
      <c r="AL112" s="160">
        <v>64805023</v>
      </c>
      <c r="AM112" s="160">
        <v>101529600</v>
      </c>
      <c r="AN112" s="160">
        <v>54733613</v>
      </c>
      <c r="AO112" s="160">
        <v>75763700</v>
      </c>
      <c r="AP112" s="160">
        <v>0</v>
      </c>
      <c r="AQ112" s="160">
        <v>0</v>
      </c>
      <c r="AR112" s="160">
        <v>0</v>
      </c>
      <c r="AS112" s="160">
        <v>7100000</v>
      </c>
      <c r="AT112" s="160">
        <v>18665900</v>
      </c>
      <c r="AU112" s="160">
        <f t="shared" ref="AU112:AZ112" si="27">SUM(AU5:AU111)</f>
        <v>62376373</v>
      </c>
      <c r="AV112" s="160">
        <f t="shared" si="27"/>
        <v>0</v>
      </c>
      <c r="AW112" s="160">
        <f t="shared" si="27"/>
        <v>0</v>
      </c>
      <c r="AX112" s="160">
        <f t="shared" si="27"/>
        <v>0</v>
      </c>
      <c r="AY112" s="160">
        <f t="shared" si="27"/>
        <v>0</v>
      </c>
      <c r="AZ112" s="160">
        <f t="shared" si="27"/>
        <v>2428650</v>
      </c>
      <c r="BA112" s="147"/>
      <c r="BB112" s="147"/>
      <c r="BC112" s="147"/>
      <c r="BD112" s="147"/>
      <c r="BE112" s="147"/>
      <c r="BF112" s="147"/>
      <c r="BG112" s="147"/>
      <c r="BH112" s="147"/>
      <c r="BI112" s="147"/>
      <c r="BJ112" s="147"/>
      <c r="BK112" s="147"/>
      <c r="BL112" s="147"/>
      <c r="BM112" s="147"/>
      <c r="BN112" s="147"/>
      <c r="BO112" s="147"/>
      <c r="BP112" s="147"/>
    </row>
    <row r="113" spans="1:68" s="244" customFormat="1" ht="31.95" customHeight="1">
      <c r="A113" s="159"/>
      <c r="B113" s="243"/>
      <c r="C113" s="159"/>
      <c r="D113" s="160"/>
      <c r="E113" s="160"/>
      <c r="F113" s="160"/>
      <c r="G113" s="160"/>
      <c r="H113" s="160"/>
      <c r="I113" s="160"/>
      <c r="J113" s="160"/>
      <c r="K113" s="160"/>
      <c r="L113" s="160">
        <f>K112+H112</f>
        <v>801261226</v>
      </c>
      <c r="M113" s="160">
        <f>P113+S112-T112</f>
        <v>247736582</v>
      </c>
      <c r="N113" s="160"/>
      <c r="O113" s="160"/>
      <c r="P113" s="154">
        <f>G112-L113</f>
        <v>116679116</v>
      </c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3"/>
      <c r="AZ113" s="163"/>
      <c r="BA113" s="147"/>
      <c r="BB113" s="147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7"/>
      <c r="BN113" s="147"/>
      <c r="BO113" s="147"/>
      <c r="BP113" s="147"/>
    </row>
    <row r="114" spans="1:68" s="244" customFormat="1" ht="31.95" customHeight="1">
      <c r="A114" s="159"/>
      <c r="B114" s="243"/>
      <c r="C114" s="159" t="s">
        <v>131</v>
      </c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54">
        <f t="shared" si="15"/>
        <v>0</v>
      </c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50"/>
      <c r="AC114" s="159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47"/>
      <c r="BB114" s="147"/>
      <c r="BC114" s="147"/>
      <c r="BD114" s="147"/>
      <c r="BE114" s="147"/>
      <c r="BF114" s="147"/>
      <c r="BG114" s="147"/>
      <c r="BH114" s="147"/>
      <c r="BI114" s="147"/>
      <c r="BJ114" s="147"/>
      <c r="BK114" s="147"/>
      <c r="BL114" s="147"/>
      <c r="BM114" s="147"/>
      <c r="BN114" s="147"/>
      <c r="BO114" s="147"/>
      <c r="BP114" s="147"/>
    </row>
    <row r="115" spans="1:68" s="157" customFormat="1" ht="31.95" customHeight="1">
      <c r="A115" s="153">
        <f>A111+1</f>
        <v>108</v>
      </c>
      <c r="B115" s="153">
        <v>1547</v>
      </c>
      <c r="C115" s="153" t="s">
        <v>421</v>
      </c>
      <c r="D115" s="154">
        <v>144000000</v>
      </c>
      <c r="E115" s="154">
        <v>144000000</v>
      </c>
      <c r="F115" s="154">
        <f t="shared" ref="F115:F127" si="28">D115-E115</f>
        <v>0</v>
      </c>
      <c r="G115" s="154">
        <v>114000000</v>
      </c>
      <c r="H115" s="154">
        <v>104414485</v>
      </c>
      <c r="I115" s="154">
        <v>0</v>
      </c>
      <c r="J115" s="154">
        <v>2378300</v>
      </c>
      <c r="K115" s="154">
        <f t="shared" ref="K115:K127" si="29">SUM(I115:J115)</f>
        <v>2378300</v>
      </c>
      <c r="L115" s="154">
        <f t="shared" ref="L115:L127" si="30">K115+H115</f>
        <v>106792785</v>
      </c>
      <c r="M115" s="154">
        <f>P115+S115</f>
        <v>7207215</v>
      </c>
      <c r="N115" s="154"/>
      <c r="O115" s="154">
        <f t="shared" ref="O115:O127" si="31">D115-L115-M115-N115</f>
        <v>30000000</v>
      </c>
      <c r="P115" s="154">
        <f t="shared" si="15"/>
        <v>7207215</v>
      </c>
      <c r="Q115" s="154"/>
      <c r="R115" s="154"/>
      <c r="S115" s="154">
        <f>SUM(Q115:R115)</f>
        <v>0</v>
      </c>
      <c r="T115" s="154">
        <v>0</v>
      </c>
      <c r="U115" s="154">
        <v>0</v>
      </c>
      <c r="V115" s="154">
        <v>0</v>
      </c>
      <c r="W115" s="154"/>
      <c r="X115" s="154"/>
      <c r="Y115" s="154"/>
      <c r="Z115" s="154"/>
      <c r="AA115" s="300"/>
      <c r="AB115" s="153" t="s">
        <v>351</v>
      </c>
      <c r="AC115" s="153">
        <v>742000</v>
      </c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>
        <v>0</v>
      </c>
      <c r="AN115" s="154">
        <v>0</v>
      </c>
      <c r="AO115" s="154">
        <v>0</v>
      </c>
      <c r="AP115" s="154"/>
      <c r="AQ115" s="154"/>
      <c r="AR115" s="154"/>
      <c r="AS115" s="154"/>
      <c r="AT115" s="154"/>
      <c r="AU115" s="154">
        <f t="shared" ref="AU115:AU127" si="32">AL115-AV115-AX115-AY115-AZ115</f>
        <v>0</v>
      </c>
      <c r="AV115" s="154"/>
      <c r="AW115" s="154"/>
      <c r="AX115" s="154"/>
      <c r="AY115" s="154"/>
      <c r="AZ115" s="154"/>
      <c r="BA115" s="147"/>
      <c r="BB115" s="147"/>
      <c r="BC115" s="147"/>
      <c r="BD115" s="147"/>
      <c r="BE115" s="147"/>
      <c r="BF115" s="147"/>
      <c r="BG115" s="147"/>
      <c r="BH115" s="147"/>
      <c r="BI115" s="147"/>
      <c r="BJ115" s="147"/>
      <c r="BK115" s="147"/>
      <c r="BL115" s="147"/>
      <c r="BM115" s="147"/>
      <c r="BN115" s="147"/>
      <c r="BO115" s="147"/>
      <c r="BP115" s="147"/>
    </row>
    <row r="116" spans="1:68" ht="31.95" customHeight="1">
      <c r="A116" s="153">
        <f>A115+1</f>
        <v>109</v>
      </c>
      <c r="B116" s="241">
        <v>1827</v>
      </c>
      <c r="C116" s="153" t="s">
        <v>422</v>
      </c>
      <c r="D116" s="154">
        <v>100000000</v>
      </c>
      <c r="E116" s="154">
        <v>100000000</v>
      </c>
      <c r="F116" s="154">
        <f t="shared" si="28"/>
        <v>0</v>
      </c>
      <c r="G116" s="154">
        <f>83771629+12548673</f>
        <v>96320302</v>
      </c>
      <c r="H116" s="154">
        <v>78059808</v>
      </c>
      <c r="I116" s="154">
        <v>0</v>
      </c>
      <c r="J116" s="154">
        <v>3324726</v>
      </c>
      <c r="K116" s="154">
        <f t="shared" si="29"/>
        <v>3324726</v>
      </c>
      <c r="L116" s="154">
        <f t="shared" si="30"/>
        <v>81384534</v>
      </c>
      <c r="M116" s="154">
        <f t="shared" ref="M116:M127" si="33">P116+S116</f>
        <v>5935768</v>
      </c>
      <c r="N116" s="154">
        <f>9000000-2000000</f>
        <v>7000000</v>
      </c>
      <c r="O116" s="154">
        <f t="shared" si="31"/>
        <v>5679698</v>
      </c>
      <c r="P116" s="154">
        <f t="shared" si="15"/>
        <v>14935768</v>
      </c>
      <c r="Q116" s="154">
        <f>12548673-12548673</f>
        <v>0</v>
      </c>
      <c r="R116" s="154">
        <v>-9000000</v>
      </c>
      <c r="S116" s="154">
        <f t="shared" ref="S116:S127" si="34">SUM(Q116:R116)</f>
        <v>-9000000</v>
      </c>
      <c r="T116" s="154">
        <v>0</v>
      </c>
      <c r="U116" s="154">
        <v>7000000</v>
      </c>
      <c r="V116" s="154">
        <v>3320302</v>
      </c>
      <c r="W116" s="154"/>
      <c r="X116" s="154"/>
      <c r="Y116" s="154"/>
      <c r="Z116" s="154"/>
      <c r="AA116" s="154">
        <v>3679698</v>
      </c>
      <c r="AB116" s="153" t="s">
        <v>351</v>
      </c>
      <c r="AC116" s="153">
        <v>746000</v>
      </c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>
        <v>0</v>
      </c>
      <c r="AN116" s="154">
        <v>7000000</v>
      </c>
      <c r="AO116" s="154">
        <v>0</v>
      </c>
      <c r="AP116" s="154"/>
      <c r="AQ116" s="154"/>
      <c r="AR116" s="154"/>
      <c r="AS116" s="154"/>
      <c r="AT116" s="154"/>
      <c r="AU116" s="154">
        <f t="shared" si="32"/>
        <v>0</v>
      </c>
      <c r="AV116" s="154"/>
      <c r="AW116" s="154"/>
      <c r="AX116" s="154"/>
      <c r="AY116" s="154"/>
      <c r="AZ116" s="154"/>
    </row>
    <row r="117" spans="1:68" s="157" customFormat="1" ht="31.95" customHeight="1">
      <c r="A117" s="153">
        <f>A116+1</f>
        <v>110</v>
      </c>
      <c r="B117" s="153">
        <v>1905</v>
      </c>
      <c r="C117" s="153" t="s">
        <v>107</v>
      </c>
      <c r="D117" s="154">
        <v>3366000</v>
      </c>
      <c r="E117" s="154">
        <v>3366000</v>
      </c>
      <c r="F117" s="154">
        <f t="shared" si="28"/>
        <v>0</v>
      </c>
      <c r="G117" s="154">
        <v>3366000</v>
      </c>
      <c r="H117" s="154">
        <v>0</v>
      </c>
      <c r="I117" s="154">
        <v>0</v>
      </c>
      <c r="J117" s="154">
        <v>0</v>
      </c>
      <c r="K117" s="154">
        <f t="shared" si="29"/>
        <v>0</v>
      </c>
      <c r="L117" s="154">
        <f t="shared" si="30"/>
        <v>0</v>
      </c>
      <c r="M117" s="154">
        <f t="shared" si="33"/>
        <v>3366000</v>
      </c>
      <c r="N117" s="154"/>
      <c r="O117" s="154">
        <f t="shared" si="31"/>
        <v>0</v>
      </c>
      <c r="P117" s="154">
        <f t="shared" si="15"/>
        <v>3366000</v>
      </c>
      <c r="Q117" s="154"/>
      <c r="R117" s="154"/>
      <c r="S117" s="154">
        <f t="shared" si="34"/>
        <v>0</v>
      </c>
      <c r="T117" s="154">
        <v>0</v>
      </c>
      <c r="U117" s="154">
        <v>0</v>
      </c>
      <c r="V117" s="154">
        <v>0</v>
      </c>
      <c r="W117" s="154"/>
      <c r="X117" s="154"/>
      <c r="Y117" s="154"/>
      <c r="Z117" s="154"/>
      <c r="AA117" s="154"/>
      <c r="AB117" s="153" t="s">
        <v>356</v>
      </c>
      <c r="AC117" s="153">
        <v>746000</v>
      </c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>
        <v>0</v>
      </c>
      <c r="AN117" s="154">
        <v>0</v>
      </c>
      <c r="AO117" s="154">
        <v>0</v>
      </c>
      <c r="AP117" s="154"/>
      <c r="AQ117" s="154"/>
      <c r="AR117" s="154"/>
      <c r="AS117" s="154"/>
      <c r="AT117" s="154"/>
      <c r="AU117" s="154">
        <f t="shared" si="32"/>
        <v>0</v>
      </c>
      <c r="AV117" s="154"/>
      <c r="AW117" s="154"/>
      <c r="AX117" s="154"/>
      <c r="AY117" s="154"/>
      <c r="AZ117" s="154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</row>
    <row r="118" spans="1:68" s="157" customFormat="1" ht="31.95" customHeight="1">
      <c r="A118" s="153">
        <f t="shared" ref="A118:A127" si="35">A117+1</f>
        <v>111</v>
      </c>
      <c r="B118" s="153">
        <v>1908</v>
      </c>
      <c r="C118" s="153" t="s">
        <v>121</v>
      </c>
      <c r="D118" s="154">
        <f>19080000-25504</f>
        <v>19054496</v>
      </c>
      <c r="E118" s="154">
        <v>19080000</v>
      </c>
      <c r="F118" s="154">
        <f t="shared" si="28"/>
        <v>-25504</v>
      </c>
      <c r="G118" s="154">
        <f>12080000+4000000</f>
        <v>16080000</v>
      </c>
      <c r="H118" s="154">
        <v>12703082</v>
      </c>
      <c r="I118" s="154">
        <v>0</v>
      </c>
      <c r="J118" s="154">
        <v>1979662</v>
      </c>
      <c r="K118" s="154">
        <f t="shared" si="29"/>
        <v>1979662</v>
      </c>
      <c r="L118" s="154">
        <f t="shared" si="30"/>
        <v>14682744</v>
      </c>
      <c r="M118" s="154">
        <f t="shared" si="33"/>
        <v>4371752</v>
      </c>
      <c r="N118" s="154"/>
      <c r="O118" s="154">
        <f t="shared" si="31"/>
        <v>0</v>
      </c>
      <c r="P118" s="154">
        <f t="shared" si="15"/>
        <v>1397256</v>
      </c>
      <c r="Q118" s="154">
        <f>7000000-1525504-4000000</f>
        <v>1474496</v>
      </c>
      <c r="R118" s="154">
        <v>1500000</v>
      </c>
      <c r="S118" s="154">
        <f t="shared" si="34"/>
        <v>2974496</v>
      </c>
      <c r="T118" s="154">
        <v>0</v>
      </c>
      <c r="U118" s="154">
        <v>0</v>
      </c>
      <c r="V118" s="154">
        <v>0</v>
      </c>
      <c r="W118" s="154"/>
      <c r="X118" s="154"/>
      <c r="Y118" s="154"/>
      <c r="Z118" s="154"/>
      <c r="AA118" s="154"/>
      <c r="AB118" s="245" t="s">
        <v>823</v>
      </c>
      <c r="AC118" s="153">
        <v>810000</v>
      </c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>
        <v>0</v>
      </c>
      <c r="AN118" s="154">
        <v>0</v>
      </c>
      <c r="AO118" s="154">
        <v>0</v>
      </c>
      <c r="AP118" s="154"/>
      <c r="AQ118" s="154"/>
      <c r="AR118" s="154"/>
      <c r="AS118" s="154"/>
      <c r="AT118" s="154"/>
      <c r="AU118" s="154">
        <f t="shared" si="32"/>
        <v>0</v>
      </c>
      <c r="AV118" s="154"/>
      <c r="AW118" s="154"/>
      <c r="AX118" s="154"/>
      <c r="AY118" s="154"/>
      <c r="AZ118" s="154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7"/>
      <c r="BN118" s="147"/>
      <c r="BO118" s="147"/>
      <c r="BP118" s="147"/>
    </row>
    <row r="119" spans="1:68" ht="31.95" customHeight="1">
      <c r="A119" s="153">
        <f t="shared" si="35"/>
        <v>112</v>
      </c>
      <c r="B119" s="241">
        <v>1909</v>
      </c>
      <c r="C119" s="153" t="s">
        <v>460</v>
      </c>
      <c r="D119" s="154">
        <v>184500000</v>
      </c>
      <c r="E119" s="154">
        <v>184500000</v>
      </c>
      <c r="F119" s="154">
        <f t="shared" si="28"/>
        <v>0</v>
      </c>
      <c r="G119" s="154">
        <f>41650000+4000000</f>
        <v>45650000</v>
      </c>
      <c r="H119" s="154">
        <v>43462587</v>
      </c>
      <c r="I119" s="154">
        <v>0</v>
      </c>
      <c r="J119" s="154">
        <v>1485767</v>
      </c>
      <c r="K119" s="154">
        <f t="shared" si="29"/>
        <v>1485767</v>
      </c>
      <c r="L119" s="154">
        <f t="shared" si="30"/>
        <v>44948354</v>
      </c>
      <c r="M119" s="154">
        <f t="shared" si="33"/>
        <v>17806856</v>
      </c>
      <c r="N119" s="154">
        <f>102850000-60000000+40000000</f>
        <v>82850000</v>
      </c>
      <c r="O119" s="154">
        <f t="shared" si="31"/>
        <v>38894790</v>
      </c>
      <c r="P119" s="154">
        <f t="shared" si="15"/>
        <v>701646</v>
      </c>
      <c r="Q119" s="154">
        <f>40000000-18894790-4000000</f>
        <v>17105210</v>
      </c>
      <c r="R119" s="154"/>
      <c r="S119" s="154">
        <f t="shared" si="34"/>
        <v>17105210</v>
      </c>
      <c r="T119" s="154">
        <v>0</v>
      </c>
      <c r="U119" s="154">
        <v>82850000</v>
      </c>
      <c r="V119" s="154">
        <v>63646245</v>
      </c>
      <c r="W119" s="154"/>
      <c r="X119" s="154"/>
      <c r="Y119" s="154"/>
      <c r="Z119" s="154"/>
      <c r="AA119" s="154">
        <v>19203755</v>
      </c>
      <c r="AB119" s="242" t="s">
        <v>1479</v>
      </c>
      <c r="AC119" s="153">
        <v>810000</v>
      </c>
      <c r="AD119" s="154"/>
      <c r="AE119" s="154"/>
      <c r="AF119" s="154">
        <v>12850000</v>
      </c>
      <c r="AG119" s="154"/>
      <c r="AH119" s="154">
        <v>16000000</v>
      </c>
      <c r="AI119" s="154">
        <v>513745</v>
      </c>
      <c r="AJ119" s="154">
        <v>10000000</v>
      </c>
      <c r="AK119" s="154">
        <v>3486255</v>
      </c>
      <c r="AL119" s="438">
        <v>20000000</v>
      </c>
      <c r="AM119" s="154">
        <v>62850000</v>
      </c>
      <c r="AN119" s="154">
        <v>20000000</v>
      </c>
      <c r="AO119" s="154">
        <v>58000460</v>
      </c>
      <c r="AP119" s="154"/>
      <c r="AQ119" s="154"/>
      <c r="AR119" s="154"/>
      <c r="AS119" s="154"/>
      <c r="AT119" s="154">
        <v>4849540</v>
      </c>
      <c r="AU119" s="154">
        <f t="shared" si="32"/>
        <v>20000000</v>
      </c>
      <c r="AV119" s="154"/>
      <c r="AW119" s="154"/>
      <c r="AX119" s="154"/>
      <c r="AY119" s="154"/>
      <c r="AZ119" s="154"/>
    </row>
    <row r="120" spans="1:68" ht="31.95" customHeight="1">
      <c r="A120" s="153">
        <f t="shared" si="35"/>
        <v>113</v>
      </c>
      <c r="B120" s="241">
        <v>1911</v>
      </c>
      <c r="C120" s="153" t="s">
        <v>280</v>
      </c>
      <c r="D120" s="154">
        <v>29050000</v>
      </c>
      <c r="E120" s="154">
        <v>29050000</v>
      </c>
      <c r="F120" s="154">
        <f t="shared" si="28"/>
        <v>0</v>
      </c>
      <c r="G120" s="154">
        <f>18332067+5717933</f>
        <v>24050000</v>
      </c>
      <c r="H120" s="154">
        <v>19323086</v>
      </c>
      <c r="I120" s="154">
        <v>0</v>
      </c>
      <c r="J120" s="154">
        <v>1960706</v>
      </c>
      <c r="K120" s="154">
        <f t="shared" si="29"/>
        <v>1960706</v>
      </c>
      <c r="L120" s="154">
        <f t="shared" si="30"/>
        <v>21283792</v>
      </c>
      <c r="M120" s="154">
        <f t="shared" si="33"/>
        <v>5952448</v>
      </c>
      <c r="N120" s="154"/>
      <c r="O120" s="154">
        <f t="shared" si="31"/>
        <v>1813760</v>
      </c>
      <c r="P120" s="154">
        <f t="shared" si="15"/>
        <v>2766208</v>
      </c>
      <c r="Q120" s="154">
        <f>10717933-3813760-5717933</f>
        <v>1186240</v>
      </c>
      <c r="R120" s="154">
        <v>2000000</v>
      </c>
      <c r="S120" s="154">
        <f t="shared" si="34"/>
        <v>3186240</v>
      </c>
      <c r="T120" s="154">
        <v>0</v>
      </c>
      <c r="U120" s="154">
        <v>0</v>
      </c>
      <c r="V120" s="154">
        <v>0</v>
      </c>
      <c r="W120" s="154"/>
      <c r="X120" s="154"/>
      <c r="Y120" s="154"/>
      <c r="Z120" s="154"/>
      <c r="AA120" s="154"/>
      <c r="AB120" s="242" t="s">
        <v>822</v>
      </c>
      <c r="AC120" s="153">
        <v>810000</v>
      </c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>
        <v>0</v>
      </c>
      <c r="AN120" s="154">
        <v>0</v>
      </c>
      <c r="AO120" s="154">
        <v>0</v>
      </c>
      <c r="AP120" s="154"/>
      <c r="AQ120" s="154"/>
      <c r="AR120" s="154"/>
      <c r="AS120" s="154"/>
      <c r="AT120" s="154"/>
      <c r="AU120" s="154">
        <f t="shared" si="32"/>
        <v>0</v>
      </c>
      <c r="AV120" s="154"/>
      <c r="AW120" s="154"/>
      <c r="AX120" s="154"/>
      <c r="AY120" s="154"/>
      <c r="AZ120" s="154"/>
    </row>
    <row r="121" spans="1:68" ht="31.95" customHeight="1">
      <c r="A121" s="153">
        <f t="shared" si="35"/>
        <v>114</v>
      </c>
      <c r="B121" s="241">
        <v>1912</v>
      </c>
      <c r="C121" s="153" t="s">
        <v>423</v>
      </c>
      <c r="D121" s="154">
        <f>451150000-141150000</f>
        <v>310000000</v>
      </c>
      <c r="E121" s="154">
        <v>310000000</v>
      </c>
      <c r="F121" s="154">
        <f t="shared" si="28"/>
        <v>0</v>
      </c>
      <c r="G121" s="154">
        <f>43500000+15000000</f>
        <v>58500000</v>
      </c>
      <c r="H121" s="154">
        <v>50080194</v>
      </c>
      <c r="I121" s="154">
        <v>0</v>
      </c>
      <c r="J121" s="154">
        <v>2502018</v>
      </c>
      <c r="K121" s="154">
        <f t="shared" si="29"/>
        <v>2502018</v>
      </c>
      <c r="L121" s="154">
        <f t="shared" si="30"/>
        <v>52582212</v>
      </c>
      <c r="M121" s="154">
        <f t="shared" si="33"/>
        <v>20710708</v>
      </c>
      <c r="N121" s="154">
        <f>180000000-100000000+20000000</f>
        <v>100000000</v>
      </c>
      <c r="O121" s="154">
        <f t="shared" si="31"/>
        <v>136707080</v>
      </c>
      <c r="P121" s="154">
        <f t="shared" si="15"/>
        <v>5917788</v>
      </c>
      <c r="Q121" s="154">
        <f>45000000-15207080-15000000</f>
        <v>14792920</v>
      </c>
      <c r="R121" s="154"/>
      <c r="S121" s="154">
        <f t="shared" si="34"/>
        <v>14792920</v>
      </c>
      <c r="T121" s="154">
        <v>0</v>
      </c>
      <c r="U121" s="154">
        <v>100000000</v>
      </c>
      <c r="V121" s="154">
        <v>25371057</v>
      </c>
      <c r="W121" s="154"/>
      <c r="X121" s="154"/>
      <c r="Y121" s="154">
        <v>9000000</v>
      </c>
      <c r="Z121" s="154"/>
      <c r="AA121" s="154">
        <v>65628943</v>
      </c>
      <c r="AB121" s="242" t="s">
        <v>1505</v>
      </c>
      <c r="AC121" s="153">
        <v>810000</v>
      </c>
      <c r="AD121" s="154"/>
      <c r="AE121" s="154">
        <v>20000000</v>
      </c>
      <c r="AF121" s="154">
        <v>12625479</v>
      </c>
      <c r="AG121" s="154"/>
      <c r="AH121" s="154">
        <v>4371057</v>
      </c>
      <c r="AI121" s="154">
        <v>21573281</v>
      </c>
      <c r="AJ121" s="154"/>
      <c r="AK121" s="154"/>
      <c r="AL121" s="154"/>
      <c r="AM121" s="154">
        <v>58569817</v>
      </c>
      <c r="AN121" s="154">
        <v>41430183</v>
      </c>
      <c r="AO121" s="154">
        <v>25371057</v>
      </c>
      <c r="AP121" s="154"/>
      <c r="AQ121" s="154"/>
      <c r="AR121" s="154">
        <v>9000000</v>
      </c>
      <c r="AS121" s="154"/>
      <c r="AT121" s="154">
        <v>24198760</v>
      </c>
      <c r="AU121" s="154">
        <f t="shared" si="32"/>
        <v>0</v>
      </c>
      <c r="AV121" s="154"/>
      <c r="AW121" s="154"/>
      <c r="AX121" s="154"/>
      <c r="AY121" s="154"/>
      <c r="AZ121" s="154"/>
    </row>
    <row r="122" spans="1:68" ht="31.95" customHeight="1">
      <c r="A122" s="153">
        <f t="shared" si="35"/>
        <v>115</v>
      </c>
      <c r="B122" s="241">
        <v>1914</v>
      </c>
      <c r="C122" s="153" t="s">
        <v>120</v>
      </c>
      <c r="D122" s="154">
        <v>8100000</v>
      </c>
      <c r="E122" s="154">
        <v>8100000</v>
      </c>
      <c r="F122" s="154">
        <f t="shared" si="28"/>
        <v>0</v>
      </c>
      <c r="G122" s="154">
        <v>8100000</v>
      </c>
      <c r="H122" s="154">
        <v>7471625</v>
      </c>
      <c r="I122" s="154">
        <v>0</v>
      </c>
      <c r="J122" s="154">
        <v>113629</v>
      </c>
      <c r="K122" s="154">
        <f t="shared" si="29"/>
        <v>113629</v>
      </c>
      <c r="L122" s="154">
        <f t="shared" si="30"/>
        <v>7585254</v>
      </c>
      <c r="M122" s="154">
        <f t="shared" si="33"/>
        <v>514746</v>
      </c>
      <c r="N122" s="154"/>
      <c r="O122" s="154">
        <f t="shared" si="31"/>
        <v>0</v>
      </c>
      <c r="P122" s="154">
        <f t="shared" si="15"/>
        <v>514746</v>
      </c>
      <c r="Q122" s="154"/>
      <c r="R122" s="154"/>
      <c r="S122" s="154">
        <f t="shared" si="34"/>
        <v>0</v>
      </c>
      <c r="T122" s="154">
        <v>0</v>
      </c>
      <c r="U122" s="154">
        <v>0</v>
      </c>
      <c r="V122" s="154">
        <v>0</v>
      </c>
      <c r="W122" s="154"/>
      <c r="X122" s="154"/>
      <c r="Y122" s="154"/>
      <c r="Z122" s="154"/>
      <c r="AA122" s="153"/>
      <c r="AB122" s="320" t="s">
        <v>653</v>
      </c>
      <c r="AC122" s="153">
        <v>810000</v>
      </c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>
        <v>0</v>
      </c>
      <c r="AN122" s="154">
        <v>0</v>
      </c>
      <c r="AO122" s="154">
        <v>0</v>
      </c>
      <c r="AP122" s="154"/>
      <c r="AQ122" s="154"/>
      <c r="AR122" s="154"/>
      <c r="AS122" s="154"/>
      <c r="AT122" s="154"/>
      <c r="AU122" s="154">
        <f t="shared" si="32"/>
        <v>0</v>
      </c>
      <c r="AV122" s="154"/>
      <c r="AW122" s="154"/>
      <c r="AX122" s="154"/>
      <c r="AY122" s="154"/>
      <c r="AZ122" s="154"/>
      <c r="BA122" s="148"/>
    </row>
    <row r="123" spans="1:68" ht="31.95" customHeight="1">
      <c r="A123" s="153">
        <f t="shared" si="35"/>
        <v>116</v>
      </c>
      <c r="B123" s="241">
        <v>1919</v>
      </c>
      <c r="C123" s="153" t="s">
        <v>110</v>
      </c>
      <c r="D123" s="154">
        <v>135100000</v>
      </c>
      <c r="E123" s="154">
        <v>135100000</v>
      </c>
      <c r="F123" s="154">
        <f t="shared" si="28"/>
        <v>0</v>
      </c>
      <c r="G123" s="154">
        <v>70359741</v>
      </c>
      <c r="H123" s="154">
        <v>56023508</v>
      </c>
      <c r="I123" s="154">
        <v>0</v>
      </c>
      <c r="J123" s="154">
        <v>2291671</v>
      </c>
      <c r="K123" s="154">
        <f t="shared" si="29"/>
        <v>2291671</v>
      </c>
      <c r="L123" s="154">
        <f t="shared" si="30"/>
        <v>58315179</v>
      </c>
      <c r="M123" s="154">
        <f t="shared" si="33"/>
        <v>13709655</v>
      </c>
      <c r="N123" s="154"/>
      <c r="O123" s="154">
        <f t="shared" si="31"/>
        <v>63075166</v>
      </c>
      <c r="P123" s="154">
        <f t="shared" si="15"/>
        <v>12044562</v>
      </c>
      <c r="Q123" s="154"/>
      <c r="R123" s="154">
        <v>1665093</v>
      </c>
      <c r="S123" s="154">
        <f t="shared" si="34"/>
        <v>1665093</v>
      </c>
      <c r="T123" s="154">
        <v>0</v>
      </c>
      <c r="U123" s="154">
        <v>0</v>
      </c>
      <c r="V123" s="154">
        <v>0</v>
      </c>
      <c r="W123" s="154"/>
      <c r="X123" s="154"/>
      <c r="Y123" s="154"/>
      <c r="Z123" s="154"/>
      <c r="AA123" s="154"/>
      <c r="AB123" s="153" t="s">
        <v>542</v>
      </c>
      <c r="AC123" s="153">
        <v>742000</v>
      </c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>
        <v>0</v>
      </c>
      <c r="AN123" s="154">
        <v>0</v>
      </c>
      <c r="AO123" s="154">
        <v>0</v>
      </c>
      <c r="AP123" s="154"/>
      <c r="AQ123" s="154"/>
      <c r="AR123" s="154"/>
      <c r="AS123" s="154"/>
      <c r="AT123" s="154"/>
      <c r="AU123" s="154">
        <f t="shared" si="32"/>
        <v>0</v>
      </c>
      <c r="AV123" s="154"/>
      <c r="AW123" s="154"/>
      <c r="AX123" s="154"/>
      <c r="AY123" s="154"/>
      <c r="AZ123" s="154"/>
    </row>
    <row r="124" spans="1:68" ht="31.95" customHeight="1">
      <c r="A124" s="153">
        <f t="shared" si="35"/>
        <v>117</v>
      </c>
      <c r="B124" s="241">
        <v>1960</v>
      </c>
      <c r="C124" s="153" t="s">
        <v>281</v>
      </c>
      <c r="D124" s="154">
        <v>24710000</v>
      </c>
      <c r="E124" s="154">
        <v>24710000</v>
      </c>
      <c r="F124" s="154">
        <f t="shared" si="28"/>
        <v>0</v>
      </c>
      <c r="G124" s="154">
        <f>12710000+3000000</f>
        <v>15710000</v>
      </c>
      <c r="H124" s="154">
        <v>8681711</v>
      </c>
      <c r="I124" s="154">
        <v>0</v>
      </c>
      <c r="J124" s="154">
        <v>3583607</v>
      </c>
      <c r="K124" s="154">
        <f t="shared" si="29"/>
        <v>3583607</v>
      </c>
      <c r="L124" s="154">
        <f t="shared" si="30"/>
        <v>12265318</v>
      </c>
      <c r="M124" s="154">
        <f t="shared" si="33"/>
        <v>10156426</v>
      </c>
      <c r="N124" s="154">
        <v>2288256</v>
      </c>
      <c r="O124" s="154">
        <f t="shared" si="31"/>
        <v>0</v>
      </c>
      <c r="P124" s="154">
        <f t="shared" si="15"/>
        <v>3444682</v>
      </c>
      <c r="Q124" s="154">
        <f>12000000-2288256-3000000</f>
        <v>6711744</v>
      </c>
      <c r="R124" s="154"/>
      <c r="S124" s="154">
        <f t="shared" si="34"/>
        <v>6711744</v>
      </c>
      <c r="T124" s="154">
        <v>0</v>
      </c>
      <c r="U124" s="154">
        <v>2288256</v>
      </c>
      <c r="V124" s="154">
        <v>0</v>
      </c>
      <c r="W124" s="154"/>
      <c r="X124" s="154"/>
      <c r="Y124" s="154"/>
      <c r="Z124" s="154"/>
      <c r="AA124" s="154">
        <v>2288256</v>
      </c>
      <c r="AB124" s="242" t="s">
        <v>1506</v>
      </c>
      <c r="AC124" s="153">
        <v>810000</v>
      </c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>
        <v>0</v>
      </c>
      <c r="AN124" s="154">
        <v>2288256</v>
      </c>
      <c r="AO124" s="154">
        <v>0</v>
      </c>
      <c r="AP124" s="154"/>
      <c r="AQ124" s="154"/>
      <c r="AR124" s="154"/>
      <c r="AS124" s="154"/>
      <c r="AT124" s="154">
        <v>0</v>
      </c>
      <c r="AU124" s="154">
        <f t="shared" si="32"/>
        <v>0</v>
      </c>
      <c r="AV124" s="154"/>
      <c r="AW124" s="154"/>
      <c r="AX124" s="154"/>
      <c r="AY124" s="154"/>
      <c r="AZ124" s="154">
        <f>AQ124</f>
        <v>0</v>
      </c>
    </row>
    <row r="125" spans="1:68" ht="31.95" customHeight="1">
      <c r="A125" s="153">
        <f t="shared" si="35"/>
        <v>118</v>
      </c>
      <c r="B125" s="241">
        <v>1962</v>
      </c>
      <c r="C125" s="153" t="s">
        <v>129</v>
      </c>
      <c r="D125" s="154">
        <v>20000000</v>
      </c>
      <c r="E125" s="154">
        <v>20000000</v>
      </c>
      <c r="F125" s="154">
        <f t="shared" si="28"/>
        <v>0</v>
      </c>
      <c r="G125" s="154">
        <v>1000000</v>
      </c>
      <c r="H125" s="154">
        <v>0</v>
      </c>
      <c r="I125" s="154">
        <v>0</v>
      </c>
      <c r="J125" s="154">
        <v>0</v>
      </c>
      <c r="K125" s="154">
        <f t="shared" si="29"/>
        <v>0</v>
      </c>
      <c r="L125" s="154">
        <f t="shared" si="30"/>
        <v>0</v>
      </c>
      <c r="M125" s="154">
        <f>P125+S125-900000</f>
        <v>100000</v>
      </c>
      <c r="N125" s="154"/>
      <c r="O125" s="154">
        <f t="shared" si="31"/>
        <v>19900000</v>
      </c>
      <c r="P125" s="154">
        <f t="shared" si="15"/>
        <v>1000000</v>
      </c>
      <c r="Q125" s="154"/>
      <c r="R125" s="154"/>
      <c r="S125" s="154">
        <f t="shared" si="34"/>
        <v>0</v>
      </c>
      <c r="T125" s="154">
        <v>900000</v>
      </c>
      <c r="U125" s="154">
        <v>-900000</v>
      </c>
      <c r="V125" s="154">
        <v>-900000</v>
      </c>
      <c r="W125" s="154"/>
      <c r="X125" s="154"/>
      <c r="Y125" s="154"/>
      <c r="Z125" s="154"/>
      <c r="AA125" s="153"/>
      <c r="AB125" s="242" t="s">
        <v>543</v>
      </c>
      <c r="AC125" s="153">
        <v>742000</v>
      </c>
      <c r="AD125" s="154"/>
      <c r="AE125" s="154"/>
      <c r="AF125" s="154"/>
      <c r="AG125" s="154"/>
      <c r="AH125" s="154"/>
      <c r="AI125" s="154"/>
      <c r="AJ125" s="154"/>
      <c r="AK125" s="154"/>
      <c r="AL125" s="438">
        <v>-900000</v>
      </c>
      <c r="AM125" s="154">
        <v>-900000</v>
      </c>
      <c r="AN125" s="154">
        <v>0</v>
      </c>
      <c r="AO125" s="154">
        <v>-900000</v>
      </c>
      <c r="AP125" s="154"/>
      <c r="AQ125" s="154"/>
      <c r="AR125" s="154"/>
      <c r="AS125" s="154"/>
      <c r="AT125" s="154"/>
      <c r="AU125" s="154">
        <f t="shared" si="32"/>
        <v>-900000</v>
      </c>
      <c r="AV125" s="154"/>
      <c r="AW125" s="154"/>
      <c r="AX125" s="154"/>
      <c r="AY125" s="154"/>
      <c r="AZ125" s="154"/>
    </row>
    <row r="126" spans="1:68" ht="31.95" customHeight="1">
      <c r="A126" s="153">
        <f t="shared" si="35"/>
        <v>119</v>
      </c>
      <c r="B126" s="153">
        <v>1965</v>
      </c>
      <c r="C126" s="153" t="s">
        <v>282</v>
      </c>
      <c r="D126" s="154">
        <v>35000000</v>
      </c>
      <c r="E126" s="154">
        <v>35000000</v>
      </c>
      <c r="F126" s="154">
        <f t="shared" si="28"/>
        <v>0</v>
      </c>
      <c r="G126" s="154">
        <v>1100000</v>
      </c>
      <c r="H126" s="154">
        <v>221274</v>
      </c>
      <c r="I126" s="154">
        <v>0</v>
      </c>
      <c r="J126" s="154">
        <v>834538</v>
      </c>
      <c r="K126" s="154">
        <f t="shared" si="29"/>
        <v>834538</v>
      </c>
      <c r="L126" s="154">
        <f t="shared" si="30"/>
        <v>1055812</v>
      </c>
      <c r="M126" s="154">
        <f t="shared" si="33"/>
        <v>1044188</v>
      </c>
      <c r="N126" s="154"/>
      <c r="O126" s="154">
        <f t="shared" si="31"/>
        <v>32900000</v>
      </c>
      <c r="P126" s="154">
        <f t="shared" si="15"/>
        <v>44188</v>
      </c>
      <c r="Q126" s="154">
        <v>1000000</v>
      </c>
      <c r="R126" s="154"/>
      <c r="S126" s="154">
        <f t="shared" si="34"/>
        <v>1000000</v>
      </c>
      <c r="T126" s="154">
        <v>0</v>
      </c>
      <c r="U126" s="154">
        <v>0</v>
      </c>
      <c r="V126" s="154">
        <v>0</v>
      </c>
      <c r="W126" s="154"/>
      <c r="X126" s="154"/>
      <c r="Y126" s="154"/>
      <c r="Z126" s="154"/>
      <c r="AA126" s="153"/>
      <c r="AB126" s="320" t="s">
        <v>1507</v>
      </c>
      <c r="AC126" s="153">
        <v>810000</v>
      </c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>
        <v>0</v>
      </c>
      <c r="AN126" s="154">
        <v>0</v>
      </c>
      <c r="AO126" s="154">
        <v>0</v>
      </c>
      <c r="AP126" s="154"/>
      <c r="AQ126" s="154"/>
      <c r="AR126" s="154"/>
      <c r="AS126" s="154"/>
      <c r="AT126" s="154"/>
      <c r="AU126" s="154">
        <f t="shared" si="32"/>
        <v>0</v>
      </c>
      <c r="AV126" s="154"/>
      <c r="AW126" s="154"/>
      <c r="AX126" s="154"/>
      <c r="AY126" s="154"/>
      <c r="AZ126" s="154"/>
    </row>
    <row r="127" spans="1:68" s="5" customFormat="1" ht="31.95" customHeight="1">
      <c r="A127" s="153">
        <f t="shared" si="35"/>
        <v>120</v>
      </c>
      <c r="B127" s="28">
        <v>2186</v>
      </c>
      <c r="C127" s="3" t="s">
        <v>485</v>
      </c>
      <c r="D127" s="4">
        <v>8100000</v>
      </c>
      <c r="E127" s="4">
        <v>8100000</v>
      </c>
      <c r="F127" s="154">
        <f t="shared" si="28"/>
        <v>0</v>
      </c>
      <c r="G127" s="4">
        <v>5811744</v>
      </c>
      <c r="H127" s="4">
        <v>5471192</v>
      </c>
      <c r="I127" s="4">
        <v>0</v>
      </c>
      <c r="J127" s="4">
        <v>146534</v>
      </c>
      <c r="K127" s="154">
        <f t="shared" si="29"/>
        <v>146534</v>
      </c>
      <c r="L127" s="154">
        <f t="shared" si="30"/>
        <v>5617726</v>
      </c>
      <c r="M127" s="154">
        <f t="shared" si="33"/>
        <v>1394018</v>
      </c>
      <c r="N127" s="154"/>
      <c r="O127" s="154">
        <f t="shared" si="31"/>
        <v>1088256</v>
      </c>
      <c r="P127" s="154">
        <f t="shared" si="15"/>
        <v>194018</v>
      </c>
      <c r="Q127" s="154">
        <f>2288256-2288256</f>
        <v>0</v>
      </c>
      <c r="R127" s="154">
        <v>1200000</v>
      </c>
      <c r="S127" s="154">
        <f t="shared" si="34"/>
        <v>1200000</v>
      </c>
      <c r="T127" s="154">
        <v>0</v>
      </c>
      <c r="U127" s="154">
        <v>0</v>
      </c>
      <c r="V127" s="154">
        <v>0</v>
      </c>
      <c r="W127" s="154"/>
      <c r="X127" s="154"/>
      <c r="Y127" s="154"/>
      <c r="Z127" s="154"/>
      <c r="AA127" s="154"/>
      <c r="AB127" s="3" t="s">
        <v>1508</v>
      </c>
      <c r="AC127" s="3">
        <v>810000</v>
      </c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>
        <v>0</v>
      </c>
      <c r="AN127" s="154">
        <v>0</v>
      </c>
      <c r="AO127" s="154">
        <v>0</v>
      </c>
      <c r="AP127" s="154"/>
      <c r="AQ127" s="154"/>
      <c r="AR127" s="154"/>
      <c r="AS127" s="154"/>
      <c r="AT127" s="154"/>
      <c r="AU127" s="154">
        <f t="shared" si="32"/>
        <v>0</v>
      </c>
      <c r="AV127" s="154"/>
      <c r="AW127" s="154"/>
      <c r="AX127" s="154"/>
      <c r="AY127" s="154"/>
      <c r="AZ127" s="154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7"/>
      <c r="BM127" s="147"/>
      <c r="BN127" s="147"/>
      <c r="BO127" s="147"/>
      <c r="BP127" s="147"/>
    </row>
    <row r="128" spans="1:68" s="244" customFormat="1" ht="31.95" customHeight="1">
      <c r="A128" s="159"/>
      <c r="B128" s="243"/>
      <c r="C128" s="159" t="s">
        <v>283</v>
      </c>
      <c r="D128" s="160">
        <f>SUM(D115:D127)</f>
        <v>1020980496</v>
      </c>
      <c r="E128" s="160">
        <f t="shared" ref="E128:S128" si="36">SUM(E115:E127)</f>
        <v>1021006000</v>
      </c>
      <c r="F128" s="160">
        <f t="shared" si="36"/>
        <v>-25504</v>
      </c>
      <c r="G128" s="160">
        <f t="shared" si="36"/>
        <v>460047787</v>
      </c>
      <c r="H128" s="160">
        <f t="shared" si="36"/>
        <v>385912552</v>
      </c>
      <c r="I128" s="160">
        <f t="shared" si="36"/>
        <v>0</v>
      </c>
      <c r="J128" s="160">
        <f t="shared" si="36"/>
        <v>20601158</v>
      </c>
      <c r="K128" s="160">
        <f t="shared" si="36"/>
        <v>20601158</v>
      </c>
      <c r="L128" s="160">
        <f t="shared" si="36"/>
        <v>406513710</v>
      </c>
      <c r="M128" s="160">
        <f t="shared" si="36"/>
        <v>92269780</v>
      </c>
      <c r="N128" s="160">
        <f t="shared" si="36"/>
        <v>192138256</v>
      </c>
      <c r="O128" s="160">
        <f t="shared" si="36"/>
        <v>330058750</v>
      </c>
      <c r="P128" s="160">
        <f t="shared" si="36"/>
        <v>53534077</v>
      </c>
      <c r="Q128" s="160">
        <f t="shared" si="36"/>
        <v>42270610</v>
      </c>
      <c r="R128" s="160">
        <f t="shared" si="36"/>
        <v>-2634907</v>
      </c>
      <c r="S128" s="160">
        <f t="shared" si="36"/>
        <v>39635703</v>
      </c>
      <c r="T128" s="160">
        <v>900000</v>
      </c>
      <c r="U128" s="160">
        <v>191238256</v>
      </c>
      <c r="V128" s="160">
        <v>91437604</v>
      </c>
      <c r="W128" s="160">
        <v>0</v>
      </c>
      <c r="X128" s="160">
        <v>0</v>
      </c>
      <c r="Y128" s="160">
        <v>9000000</v>
      </c>
      <c r="Z128" s="160">
        <v>0</v>
      </c>
      <c r="AA128" s="160">
        <v>90800652</v>
      </c>
      <c r="AB128" s="150"/>
      <c r="AC128" s="159"/>
      <c r="AD128" s="160">
        <v>0</v>
      </c>
      <c r="AE128" s="160">
        <v>20000000</v>
      </c>
      <c r="AF128" s="160">
        <v>25475479</v>
      </c>
      <c r="AG128" s="160">
        <v>0</v>
      </c>
      <c r="AH128" s="160">
        <v>20371057</v>
      </c>
      <c r="AI128" s="160">
        <v>22087026</v>
      </c>
      <c r="AJ128" s="160">
        <v>10000000</v>
      </c>
      <c r="AK128" s="160">
        <v>3486255</v>
      </c>
      <c r="AL128" s="160">
        <v>19100000</v>
      </c>
      <c r="AM128" s="160">
        <v>120519817</v>
      </c>
      <c r="AN128" s="160">
        <v>70718439</v>
      </c>
      <c r="AO128" s="160">
        <v>82471517</v>
      </c>
      <c r="AP128" s="160">
        <v>0</v>
      </c>
      <c r="AQ128" s="160">
        <v>0</v>
      </c>
      <c r="AR128" s="160">
        <v>9000000</v>
      </c>
      <c r="AS128" s="160">
        <v>0</v>
      </c>
      <c r="AT128" s="160">
        <v>29048300</v>
      </c>
      <c r="AU128" s="160">
        <f t="shared" ref="AU128:AZ128" si="37">SUM(AU115:AU127)</f>
        <v>19100000</v>
      </c>
      <c r="AV128" s="160">
        <f t="shared" si="37"/>
        <v>0</v>
      </c>
      <c r="AW128" s="160">
        <f t="shared" si="37"/>
        <v>0</v>
      </c>
      <c r="AX128" s="160">
        <f t="shared" si="37"/>
        <v>0</v>
      </c>
      <c r="AY128" s="160">
        <f t="shared" si="37"/>
        <v>0</v>
      </c>
      <c r="AZ128" s="160">
        <f t="shared" si="37"/>
        <v>0</v>
      </c>
      <c r="BA128" s="147"/>
      <c r="BB128" s="147"/>
      <c r="BC128" s="147"/>
      <c r="BD128" s="147"/>
      <c r="BE128" s="147"/>
      <c r="BF128" s="147"/>
      <c r="BG128" s="147"/>
      <c r="BH128" s="147"/>
      <c r="BI128" s="147"/>
      <c r="BJ128" s="147"/>
      <c r="BK128" s="147"/>
      <c r="BL128" s="147"/>
      <c r="BM128" s="147"/>
      <c r="BN128" s="147"/>
      <c r="BO128" s="147"/>
      <c r="BP128" s="147"/>
    </row>
    <row r="129" spans="1:68" s="331" customFormat="1" ht="31.95" customHeight="1">
      <c r="A129" s="270">
        <f>A127</f>
        <v>120</v>
      </c>
      <c r="B129" s="270"/>
      <c r="C129" s="29" t="s">
        <v>492</v>
      </c>
      <c r="D129" s="330">
        <f t="shared" ref="D129:S129" si="38">D128+D112</f>
        <v>3217044339</v>
      </c>
      <c r="E129" s="330">
        <f t="shared" si="38"/>
        <v>3022650187</v>
      </c>
      <c r="F129" s="330">
        <f t="shared" si="38"/>
        <v>194394152</v>
      </c>
      <c r="G129" s="330">
        <f t="shared" si="38"/>
        <v>1377988129</v>
      </c>
      <c r="H129" s="330">
        <f t="shared" si="38"/>
        <v>1147601818</v>
      </c>
      <c r="I129" s="330">
        <f t="shared" si="38"/>
        <v>3316292</v>
      </c>
      <c r="J129" s="330">
        <f t="shared" si="38"/>
        <v>56856826</v>
      </c>
      <c r="K129" s="330">
        <f t="shared" si="38"/>
        <v>60173118</v>
      </c>
      <c r="L129" s="330">
        <f t="shared" si="38"/>
        <v>1207774936</v>
      </c>
      <c r="M129" s="330">
        <f t="shared" si="38"/>
        <v>340006362</v>
      </c>
      <c r="N129" s="330">
        <f t="shared" si="38"/>
        <v>355265805</v>
      </c>
      <c r="O129" s="330">
        <f t="shared" si="38"/>
        <v>1313997236</v>
      </c>
      <c r="P129" s="330">
        <f t="shared" si="38"/>
        <v>170213193</v>
      </c>
      <c r="Q129" s="330">
        <f t="shared" si="38"/>
        <v>167330610</v>
      </c>
      <c r="R129" s="330">
        <f t="shared" si="38"/>
        <v>10226895</v>
      </c>
      <c r="S129" s="330">
        <f t="shared" si="38"/>
        <v>177557505</v>
      </c>
      <c r="T129" s="330">
        <v>7764336</v>
      </c>
      <c r="U129" s="330">
        <v>347501469</v>
      </c>
      <c r="V129" s="330">
        <v>184998584</v>
      </c>
      <c r="W129" s="330">
        <v>1500000</v>
      </c>
      <c r="X129" s="330">
        <v>0</v>
      </c>
      <c r="Y129" s="330">
        <v>9000000</v>
      </c>
      <c r="Z129" s="330">
        <v>7100000</v>
      </c>
      <c r="AA129" s="330">
        <v>144902885</v>
      </c>
      <c r="AB129" s="330"/>
      <c r="AC129" s="420"/>
      <c r="AD129" s="330">
        <v>0</v>
      </c>
      <c r="AE129" s="330">
        <v>20000000</v>
      </c>
      <c r="AF129" s="330">
        <v>22750482</v>
      </c>
      <c r="AG129" s="330">
        <v>2485664</v>
      </c>
      <c r="AH129" s="330">
        <v>40984608</v>
      </c>
      <c r="AI129" s="330">
        <v>22637026</v>
      </c>
      <c r="AJ129" s="330">
        <v>17387327</v>
      </c>
      <c r="AK129" s="330">
        <v>11899287</v>
      </c>
      <c r="AL129" s="330">
        <v>83905023</v>
      </c>
      <c r="AM129" s="330">
        <v>222049417</v>
      </c>
      <c r="AN129" s="330">
        <v>125452052</v>
      </c>
      <c r="AO129" s="330">
        <v>158235217</v>
      </c>
      <c r="AP129" s="330">
        <v>0</v>
      </c>
      <c r="AQ129" s="330">
        <v>0</v>
      </c>
      <c r="AR129" s="330">
        <v>9000000</v>
      </c>
      <c r="AS129" s="330">
        <v>7100000</v>
      </c>
      <c r="AT129" s="330">
        <v>47714200</v>
      </c>
      <c r="AU129" s="330">
        <f t="shared" ref="AU129:AZ129" si="39">AU128+AU112</f>
        <v>81476373</v>
      </c>
      <c r="AV129" s="330">
        <f t="shared" si="39"/>
        <v>0</v>
      </c>
      <c r="AW129" s="330">
        <f t="shared" si="39"/>
        <v>0</v>
      </c>
      <c r="AX129" s="330">
        <f t="shared" si="39"/>
        <v>0</v>
      </c>
      <c r="AY129" s="330">
        <f t="shared" si="39"/>
        <v>0</v>
      </c>
      <c r="AZ129" s="330">
        <f t="shared" si="39"/>
        <v>2428650</v>
      </c>
      <c r="BA129" s="147"/>
      <c r="BB129" s="147"/>
      <c r="BC129" s="147"/>
      <c r="BD129" s="147"/>
      <c r="BE129" s="147"/>
      <c r="BF129" s="147"/>
      <c r="BG129" s="147"/>
      <c r="BH129" s="147"/>
      <c r="BI129" s="147"/>
      <c r="BJ129" s="147"/>
      <c r="BK129" s="147"/>
      <c r="BL129" s="147"/>
      <c r="BM129" s="147"/>
      <c r="BN129" s="147"/>
      <c r="BO129" s="147"/>
      <c r="BP129" s="147"/>
    </row>
    <row r="130" spans="1:68" hidden="1">
      <c r="C130" s="237"/>
      <c r="F130" s="247"/>
      <c r="G130" s="247"/>
      <c r="H130" s="247"/>
      <c r="I130" s="247"/>
      <c r="J130" s="247"/>
      <c r="K130" s="247"/>
      <c r="L130" s="247">
        <f>K129+H129</f>
        <v>1207774936</v>
      </c>
      <c r="M130" s="247">
        <f>P130+S129-T129</f>
        <v>340006362</v>
      </c>
      <c r="N130" s="247"/>
      <c r="O130" s="247"/>
      <c r="P130" s="247">
        <f>G129-L130</f>
        <v>170213193</v>
      </c>
      <c r="Q130" s="247"/>
      <c r="R130" s="246"/>
      <c r="S130" s="247"/>
      <c r="T130" s="247">
        <f>P129+S129-M129</f>
        <v>7764336</v>
      </c>
    </row>
    <row r="131" spans="1:68">
      <c r="F131" s="247"/>
      <c r="G131" s="247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6"/>
      <c r="S131" s="247"/>
      <c r="T131" s="247"/>
    </row>
    <row r="132" spans="1:68">
      <c r="C132" s="237"/>
      <c r="F132" s="247"/>
      <c r="G132" s="247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6"/>
      <c r="S132" s="247"/>
      <c r="T132" s="247"/>
      <c r="AK132" s="487">
        <v>44805</v>
      </c>
      <c r="AL132" s="154">
        <f>'[1]ריכוז אגפים'!$AI$29</f>
        <v>20000000</v>
      </c>
    </row>
    <row r="133" spans="1:68">
      <c r="F133" s="247"/>
      <c r="G133" s="247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8"/>
      <c r="S133" s="247"/>
      <c r="T133" s="247"/>
      <c r="AK133" s="487">
        <v>44835</v>
      </c>
      <c r="AL133" s="154">
        <f>'[2]תקציב החברה לפיתוח 2022'!$AM$130</f>
        <v>63905023</v>
      </c>
      <c r="AN133" s="148"/>
    </row>
    <row r="134" spans="1:68"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K134" s="242" t="s">
        <v>88</v>
      </c>
      <c r="AL134" s="154">
        <f>SUM(AL132:AL133)</f>
        <v>83905023</v>
      </c>
    </row>
    <row r="135" spans="1:68">
      <c r="F135" s="247"/>
      <c r="G135" s="247"/>
      <c r="H135" s="247"/>
      <c r="I135" s="247"/>
      <c r="J135" s="247"/>
      <c r="K135" s="247"/>
      <c r="L135" s="247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  <c r="AN135" s="148"/>
    </row>
    <row r="136" spans="1:68"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K136" s="370"/>
      <c r="AN136" s="148"/>
    </row>
    <row r="137" spans="1:68"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  <c r="AN137" s="148"/>
    </row>
    <row r="138" spans="1:68"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K138" s="403"/>
    </row>
    <row r="139" spans="1:68">
      <c r="F139" s="247"/>
      <c r="G139" s="247"/>
      <c r="H139" s="247"/>
      <c r="I139" s="247"/>
      <c r="J139" s="247"/>
      <c r="K139" s="247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</row>
    <row r="140" spans="1:68">
      <c r="F140" s="247"/>
      <c r="G140" s="247"/>
      <c r="H140" s="247"/>
      <c r="I140" s="247"/>
      <c r="J140" s="247"/>
      <c r="K140" s="247"/>
      <c r="L140" s="247"/>
      <c r="M140" s="247"/>
      <c r="N140" s="247"/>
      <c r="O140" s="247"/>
      <c r="P140" s="247"/>
      <c r="Q140" s="247"/>
      <c r="R140" s="247"/>
      <c r="S140" s="247"/>
      <c r="T140" s="247"/>
      <c r="U140" s="247"/>
      <c r="V140" s="247"/>
      <c r="W140" s="247"/>
      <c r="X140" s="247"/>
      <c r="Y140" s="247"/>
      <c r="Z140" s="247"/>
      <c r="AA140" s="247"/>
    </row>
    <row r="141" spans="1:68">
      <c r="F141" s="247"/>
      <c r="G141" s="247"/>
      <c r="H141" s="247"/>
      <c r="I141" s="247"/>
      <c r="J141" s="247"/>
      <c r="K141" s="247"/>
      <c r="L141" s="247"/>
      <c r="M141" s="247"/>
      <c r="N141" s="247"/>
      <c r="O141" s="247"/>
      <c r="P141" s="247"/>
      <c r="Q141" s="247"/>
      <c r="R141" s="247"/>
      <c r="S141" s="247"/>
      <c r="T141" s="247"/>
      <c r="U141" s="370"/>
      <c r="V141" s="147" t="s">
        <v>792</v>
      </c>
    </row>
    <row r="142" spans="1:68">
      <c r="F142" s="247"/>
      <c r="G142" s="247"/>
      <c r="H142" s="247"/>
      <c r="I142" s="247"/>
      <c r="J142" s="247"/>
      <c r="K142" s="247"/>
      <c r="L142" s="247"/>
      <c r="M142" s="247"/>
      <c r="N142" s="247"/>
      <c r="O142" s="247"/>
      <c r="P142" s="247"/>
      <c r="Q142" s="247"/>
      <c r="R142" s="247"/>
      <c r="S142" s="247"/>
      <c r="T142" s="247"/>
      <c r="U142" s="370"/>
    </row>
    <row r="143" spans="1:68">
      <c r="F143" s="247"/>
      <c r="G143" s="247"/>
      <c r="H143" s="247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370"/>
    </row>
    <row r="144" spans="1:68">
      <c r="U144" s="370"/>
    </row>
    <row r="145" spans="21:21">
      <c r="U145" s="370"/>
    </row>
    <row r="146" spans="21:21">
      <c r="U146" s="370"/>
    </row>
    <row r="147" spans="21:21">
      <c r="U147" s="370"/>
    </row>
    <row r="148" spans="21:21">
      <c r="U148" s="370"/>
    </row>
    <row r="149" spans="21:21">
      <c r="U149" s="370"/>
    </row>
    <row r="150" spans="21:21">
      <c r="U150" s="370"/>
    </row>
    <row r="151" spans="21:21">
      <c r="U151" s="370"/>
    </row>
    <row r="152" spans="21:21">
      <c r="U152" s="370"/>
    </row>
    <row r="153" spans="21:21">
      <c r="U153" s="370"/>
    </row>
    <row r="154" spans="21:21">
      <c r="U154" s="370"/>
    </row>
    <row r="156" spans="21:21">
      <c r="U156" s="403"/>
    </row>
    <row r="158" spans="21:21">
      <c r="U158" s="403"/>
    </row>
    <row r="159" spans="21:21">
      <c r="U159" s="403"/>
    </row>
  </sheetData>
  <sheetProtection formatCells="0" formatColumns="0" formatRows="0" insertColumns="0" insertRows="0" insertHyperlinks="0" deleteColumns="0" deleteRows="0" sort="0" autoFilter="0" pivotTables="0"/>
  <mergeCells count="5">
    <mergeCell ref="T3:U3"/>
    <mergeCell ref="V3:AA3"/>
    <mergeCell ref="AD3:AN3"/>
    <mergeCell ref="AO3:AT3"/>
    <mergeCell ref="AU3:AZ3"/>
  </mergeCells>
  <conditionalFormatting sqref="AB4">
    <cfRule type="cellIs" dxfId="93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42"/>
  <sheetViews>
    <sheetView showZeros="0" rightToLeft="1" tabSelected="1" zoomScaleNormal="100" workbookViewId="0">
      <pane xSplit="4" ySplit="4" topLeftCell="E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.88671875" defaultRowHeight="13.2"/>
  <cols>
    <col min="1" max="2" width="5.77734375" style="371" customWidth="1"/>
    <col min="3" max="3" width="32.77734375" style="371" customWidth="1"/>
    <col min="4" max="6" width="10.109375" style="371" hidden="1" customWidth="1"/>
    <col min="7" max="11" width="10.44140625" style="371" hidden="1" customWidth="1"/>
    <col min="12" max="15" width="10.109375" style="371" hidden="1" customWidth="1"/>
    <col min="16" max="19" width="10.44140625" style="371" hidden="1" customWidth="1"/>
    <col min="20" max="23" width="10.77734375" style="371" customWidth="1"/>
    <col min="24" max="26" width="10.44140625" style="371" hidden="1" customWidth="1"/>
    <col min="27" max="27" width="10.77734375" style="371" customWidth="1"/>
    <col min="28" max="28" width="28.109375" style="184" hidden="1" customWidth="1"/>
    <col min="29" max="29" width="8.6640625" style="184" hidden="1" customWidth="1"/>
    <col min="30" max="37" width="13.6640625" style="372" hidden="1" customWidth="1"/>
    <col min="38" max="38" width="14.6640625" style="372" hidden="1" customWidth="1"/>
    <col min="39" max="42" width="10.77734375" style="372" customWidth="1"/>
    <col min="43" max="45" width="13.6640625" style="372" hidden="1" customWidth="1"/>
    <col min="46" max="46" width="10.77734375" style="372" customWidth="1"/>
    <col min="47" max="52" width="13.6640625" style="372" hidden="1" customWidth="1"/>
    <col min="53" max="54" width="21.33203125" style="372" customWidth="1"/>
    <col min="55" max="56" width="11.33203125" style="372" customWidth="1"/>
    <col min="57" max="57" width="22.33203125" style="372" customWidth="1"/>
    <col min="58" max="58" width="12.44140625" style="372" customWidth="1"/>
    <col min="59" max="59" width="14.88671875" style="372" customWidth="1"/>
    <col min="60" max="16384" width="8.88671875" style="184"/>
  </cols>
  <sheetData>
    <row r="1" spans="1:59" ht="13.8">
      <c r="A1" s="26"/>
      <c r="B1" s="337"/>
      <c r="C1" s="337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1"/>
    </row>
    <row r="2" spans="1:59" ht="18">
      <c r="A2" s="58" t="s">
        <v>1449</v>
      </c>
      <c r="B2" s="58"/>
      <c r="C2" s="337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1"/>
    </row>
    <row r="3" spans="1:59" ht="33.75" customHeight="1">
      <c r="B3" s="375"/>
      <c r="C3" s="375"/>
      <c r="D3" s="13"/>
      <c r="E3" s="13"/>
      <c r="F3" s="13"/>
      <c r="G3" s="13"/>
      <c r="H3" s="13"/>
      <c r="I3" s="13"/>
      <c r="J3" s="13"/>
      <c r="K3" s="13"/>
      <c r="L3" s="13"/>
      <c r="M3" s="376"/>
      <c r="N3" s="13"/>
      <c r="O3" s="13"/>
      <c r="P3" s="13"/>
      <c r="Q3" s="13"/>
      <c r="R3" s="13"/>
      <c r="S3" s="13"/>
      <c r="T3" s="622" t="s">
        <v>1426</v>
      </c>
      <c r="U3" s="622"/>
      <c r="V3" s="622" t="s">
        <v>83</v>
      </c>
      <c r="W3" s="622"/>
      <c r="X3" s="622"/>
      <c r="Y3" s="622"/>
      <c r="Z3" s="622"/>
      <c r="AA3" s="622"/>
      <c r="AB3" s="17"/>
      <c r="AC3" s="11"/>
      <c r="AD3" s="644" t="s">
        <v>207</v>
      </c>
      <c r="AE3" s="645"/>
      <c r="AF3" s="645"/>
      <c r="AG3" s="645"/>
      <c r="AH3" s="645"/>
      <c r="AI3" s="645"/>
      <c r="AJ3" s="645"/>
      <c r="AK3" s="645"/>
      <c r="AL3" s="645"/>
      <c r="AM3" s="645"/>
      <c r="AN3" s="646"/>
      <c r="AO3" s="647" t="s">
        <v>1174</v>
      </c>
      <c r="AP3" s="648"/>
      <c r="AQ3" s="648"/>
      <c r="AR3" s="648"/>
      <c r="AS3" s="648"/>
      <c r="AT3" s="649"/>
      <c r="AU3" s="622" t="s">
        <v>953</v>
      </c>
      <c r="AV3" s="622"/>
      <c r="AW3" s="622"/>
      <c r="AX3" s="622"/>
      <c r="AY3" s="622"/>
      <c r="AZ3" s="622"/>
    </row>
    <row r="4" spans="1:59" s="377" customFormat="1" ht="59.4" customHeight="1">
      <c r="A4" s="333" t="s">
        <v>0</v>
      </c>
      <c r="B4" s="333" t="s">
        <v>1</v>
      </c>
      <c r="C4" s="333" t="s">
        <v>2</v>
      </c>
      <c r="D4" s="333" t="s">
        <v>3</v>
      </c>
      <c r="E4" s="333" t="s">
        <v>4</v>
      </c>
      <c r="F4" s="333" t="s">
        <v>5</v>
      </c>
      <c r="G4" s="333" t="s">
        <v>6</v>
      </c>
      <c r="H4" s="333" t="s">
        <v>7</v>
      </c>
      <c r="I4" s="333" t="s">
        <v>9</v>
      </c>
      <c r="J4" s="333" t="s">
        <v>132</v>
      </c>
      <c r="K4" s="333" t="s">
        <v>10</v>
      </c>
      <c r="L4" s="333" t="s">
        <v>11</v>
      </c>
      <c r="M4" s="332" t="s">
        <v>658</v>
      </c>
      <c r="N4" s="332" t="s">
        <v>659</v>
      </c>
      <c r="O4" s="332" t="s">
        <v>660</v>
      </c>
      <c r="P4" s="332" t="s">
        <v>12</v>
      </c>
      <c r="Q4" s="332" t="s">
        <v>661</v>
      </c>
      <c r="R4" s="332" t="s">
        <v>662</v>
      </c>
      <c r="S4" s="332" t="s">
        <v>663</v>
      </c>
      <c r="T4" s="332" t="s">
        <v>664</v>
      </c>
      <c r="U4" s="488" t="s">
        <v>665</v>
      </c>
      <c r="V4" s="333" t="s">
        <v>13</v>
      </c>
      <c r="W4" s="333" t="s">
        <v>14</v>
      </c>
      <c r="X4" s="333" t="s">
        <v>15</v>
      </c>
      <c r="Y4" s="333" t="s">
        <v>225</v>
      </c>
      <c r="Z4" s="333" t="s">
        <v>575</v>
      </c>
      <c r="AA4" s="333" t="s">
        <v>79</v>
      </c>
      <c r="AB4" s="488" t="s">
        <v>257</v>
      </c>
      <c r="AC4" s="333" t="s">
        <v>16</v>
      </c>
      <c r="AD4" s="481" t="s">
        <v>954</v>
      </c>
      <c r="AE4" s="481" t="s">
        <v>955</v>
      </c>
      <c r="AF4" s="481" t="s">
        <v>956</v>
      </c>
      <c r="AG4" s="481" t="s">
        <v>957</v>
      </c>
      <c r="AH4" s="481" t="s">
        <v>958</v>
      </c>
      <c r="AI4" s="481" t="s">
        <v>959</v>
      </c>
      <c r="AJ4" s="481" t="s">
        <v>960</v>
      </c>
      <c r="AK4" s="481" t="s">
        <v>961</v>
      </c>
      <c r="AL4" s="481" t="s">
        <v>962</v>
      </c>
      <c r="AM4" s="19" t="s">
        <v>1173</v>
      </c>
      <c r="AN4" s="19" t="s">
        <v>635</v>
      </c>
      <c r="AO4" s="167" t="s">
        <v>13</v>
      </c>
      <c r="AP4" s="167" t="s">
        <v>14</v>
      </c>
      <c r="AQ4" s="167" t="s">
        <v>15</v>
      </c>
      <c r="AR4" s="167" t="s">
        <v>225</v>
      </c>
      <c r="AS4" s="167" t="s">
        <v>575</v>
      </c>
      <c r="AT4" s="15" t="s">
        <v>79</v>
      </c>
      <c r="AU4" s="167" t="s">
        <v>13</v>
      </c>
      <c r="AV4" s="167" t="s">
        <v>14</v>
      </c>
      <c r="AW4" s="167" t="s">
        <v>15</v>
      </c>
      <c r="AX4" s="167" t="s">
        <v>225</v>
      </c>
      <c r="AY4" s="167" t="s">
        <v>575</v>
      </c>
      <c r="AZ4" s="15" t="s">
        <v>79</v>
      </c>
      <c r="BA4" s="373"/>
      <c r="BB4" s="372"/>
      <c r="BC4" s="372"/>
      <c r="BD4" s="372"/>
      <c r="BE4" s="372"/>
      <c r="BF4" s="372"/>
      <c r="BG4" s="372"/>
    </row>
    <row r="5" spans="1:59" s="379" customFormat="1" ht="31.95" customHeight="1">
      <c r="A5" s="3">
        <v>1</v>
      </c>
      <c r="B5" s="3">
        <v>1134</v>
      </c>
      <c r="C5" s="3" t="s">
        <v>57</v>
      </c>
      <c r="D5" s="4">
        <f>2850000-45000</f>
        <v>2805000</v>
      </c>
      <c r="E5" s="4">
        <v>2795000</v>
      </c>
      <c r="F5" s="4">
        <f t="shared" ref="F5:F68" si="0">D5-E5</f>
        <v>10000</v>
      </c>
      <c r="G5" s="4">
        <v>2655000</v>
      </c>
      <c r="H5" s="4">
        <v>2558095</v>
      </c>
      <c r="I5" s="4">
        <v>0</v>
      </c>
      <c r="J5" s="4">
        <v>81315</v>
      </c>
      <c r="K5" s="4">
        <f>I5+J5</f>
        <v>81315</v>
      </c>
      <c r="L5" s="4">
        <f>H5+K5</f>
        <v>2639410</v>
      </c>
      <c r="M5" s="4">
        <f t="shared" ref="M5:M26" si="1">P5+S5</f>
        <v>15590</v>
      </c>
      <c r="N5" s="4">
        <v>150000</v>
      </c>
      <c r="O5" s="4">
        <f t="shared" ref="O5:O68" si="2">D5-L5-M5-N5</f>
        <v>0</v>
      </c>
      <c r="P5" s="4">
        <f t="shared" ref="P5:P68" si="3">G5-L5</f>
        <v>15590</v>
      </c>
      <c r="Q5" s="4"/>
      <c r="R5" s="4"/>
      <c r="S5" s="4">
        <f t="shared" ref="S5:S68" si="4">SUM(Q5:R5)</f>
        <v>0</v>
      </c>
      <c r="T5" s="4">
        <v>0</v>
      </c>
      <c r="U5" s="4">
        <v>150000</v>
      </c>
      <c r="V5" s="4">
        <v>150000</v>
      </c>
      <c r="W5" s="4"/>
      <c r="X5" s="4"/>
      <c r="Y5" s="4"/>
      <c r="Z5" s="4"/>
      <c r="AA5" s="4"/>
      <c r="AB5" s="3" t="s">
        <v>1509</v>
      </c>
      <c r="AC5" s="3">
        <v>746000</v>
      </c>
      <c r="AD5" s="380"/>
      <c r="AE5" s="4">
        <v>60000</v>
      </c>
      <c r="AF5" s="4"/>
      <c r="AG5" s="4">
        <v>40000</v>
      </c>
      <c r="AH5" s="4"/>
      <c r="AI5" s="4"/>
      <c r="AJ5" s="4"/>
      <c r="AK5" s="4"/>
      <c r="AL5" s="4"/>
      <c r="AM5" s="4">
        <v>100000</v>
      </c>
      <c r="AN5" s="4">
        <v>50000</v>
      </c>
      <c r="AO5" s="4">
        <v>100000</v>
      </c>
      <c r="AP5" s="4">
        <v>0</v>
      </c>
      <c r="AQ5" s="4"/>
      <c r="AR5" s="4"/>
      <c r="AS5" s="4"/>
      <c r="AT5" s="4"/>
      <c r="AU5" s="4"/>
      <c r="AV5" s="4">
        <f>AL5-AU5-AZ5</f>
        <v>0</v>
      </c>
      <c r="AW5" s="4"/>
      <c r="AX5" s="4"/>
      <c r="AY5" s="4"/>
      <c r="AZ5" s="4"/>
      <c r="BA5" s="372"/>
      <c r="BB5" s="372"/>
      <c r="BC5" s="372"/>
      <c r="BD5" s="372"/>
      <c r="BE5" s="372"/>
      <c r="BF5" s="372"/>
      <c r="BG5" s="372"/>
    </row>
    <row r="6" spans="1:59" ht="31.95" customHeight="1">
      <c r="A6" s="3">
        <f t="shared" ref="A6:A69" si="5">A5+1</f>
        <v>2</v>
      </c>
      <c r="B6" s="3">
        <v>1210</v>
      </c>
      <c r="C6" s="3" t="s">
        <v>61</v>
      </c>
      <c r="D6" s="4">
        <f>113550000+20000000-20000000</f>
        <v>113550000</v>
      </c>
      <c r="E6" s="4">
        <v>113550000</v>
      </c>
      <c r="F6" s="4">
        <f t="shared" si="0"/>
        <v>0</v>
      </c>
      <c r="G6" s="4">
        <v>92400000</v>
      </c>
      <c r="H6" s="4">
        <v>89559774</v>
      </c>
      <c r="I6" s="4">
        <v>0</v>
      </c>
      <c r="J6" s="4">
        <v>638005</v>
      </c>
      <c r="K6" s="4">
        <f>I6+J6</f>
        <v>638005</v>
      </c>
      <c r="L6" s="4">
        <f>H6+K6</f>
        <v>90197779</v>
      </c>
      <c r="M6" s="4">
        <f t="shared" si="1"/>
        <v>2202221</v>
      </c>
      <c r="N6" s="4">
        <f>24000000-8000000-2000000-4000000</f>
        <v>10000000</v>
      </c>
      <c r="O6" s="4">
        <f t="shared" si="2"/>
        <v>11150000</v>
      </c>
      <c r="P6" s="4">
        <f t="shared" si="3"/>
        <v>2202221</v>
      </c>
      <c r="Q6" s="4"/>
      <c r="R6" s="4"/>
      <c r="S6" s="4">
        <f t="shared" si="4"/>
        <v>0</v>
      </c>
      <c r="T6" s="4">
        <v>0</v>
      </c>
      <c r="U6" s="4">
        <v>10000000</v>
      </c>
      <c r="V6" s="4"/>
      <c r="W6" s="4"/>
      <c r="X6" s="4"/>
      <c r="Y6" s="4"/>
      <c r="Z6" s="4"/>
      <c r="AA6" s="4">
        <v>10000000</v>
      </c>
      <c r="AB6" s="3" t="s">
        <v>462</v>
      </c>
      <c r="AC6" s="3">
        <v>764000</v>
      </c>
      <c r="AD6" s="4">
        <v>2000000</v>
      </c>
      <c r="AE6" s="4">
        <v>1000000</v>
      </c>
      <c r="AF6" s="4"/>
      <c r="AG6" s="4">
        <v>1400000</v>
      </c>
      <c r="AH6" s="4"/>
      <c r="AI6" s="4"/>
      <c r="AJ6" s="4">
        <v>1600000</v>
      </c>
      <c r="AK6" s="4">
        <v>2000000</v>
      </c>
      <c r="AL6" s="435">
        <v>2000000</v>
      </c>
      <c r="AM6" s="4">
        <v>10000000</v>
      </c>
      <c r="AN6" s="435">
        <v>0</v>
      </c>
      <c r="AO6" s="4"/>
      <c r="AP6" s="4">
        <v>0</v>
      </c>
      <c r="AQ6" s="4"/>
      <c r="AR6" s="4"/>
      <c r="AS6" s="4"/>
      <c r="AT6" s="4">
        <v>10000000</v>
      </c>
      <c r="AU6" s="4"/>
      <c r="AV6" s="4">
        <f t="shared" ref="AV6:AV69" si="6">AL6-AU6-AZ6</f>
        <v>0</v>
      </c>
      <c r="AW6" s="4"/>
      <c r="AX6" s="4"/>
      <c r="AY6" s="4"/>
      <c r="AZ6" s="4">
        <v>2000000</v>
      </c>
    </row>
    <row r="7" spans="1:59" ht="31.95" customHeight="1">
      <c r="A7" s="3">
        <f t="shared" si="5"/>
        <v>3</v>
      </c>
      <c r="B7" s="3">
        <v>1247</v>
      </c>
      <c r="C7" s="3" t="s">
        <v>47</v>
      </c>
      <c r="D7" s="4">
        <f>9630000+20000-150000</f>
        <v>9500000</v>
      </c>
      <c r="E7" s="4">
        <v>9500000</v>
      </c>
      <c r="F7" s="4">
        <f t="shared" si="0"/>
        <v>0</v>
      </c>
      <c r="G7" s="4">
        <f>9200000+50000</f>
        <v>9250000</v>
      </c>
      <c r="H7" s="4">
        <v>8825451</v>
      </c>
      <c r="I7" s="4">
        <v>5068</v>
      </c>
      <c r="J7" s="4">
        <v>399022</v>
      </c>
      <c r="K7" s="4">
        <f>SUM(I7:J7)</f>
        <v>404090</v>
      </c>
      <c r="L7" s="4">
        <f>K7+H7</f>
        <v>9229541</v>
      </c>
      <c r="M7" s="4">
        <f t="shared" si="1"/>
        <v>20459</v>
      </c>
      <c r="N7" s="4">
        <f>400000-200000</f>
        <v>200000</v>
      </c>
      <c r="O7" s="4">
        <f t="shared" si="2"/>
        <v>50000</v>
      </c>
      <c r="P7" s="4">
        <f t="shared" si="3"/>
        <v>20459</v>
      </c>
      <c r="Q7" s="4"/>
      <c r="R7" s="4"/>
      <c r="S7" s="4">
        <f t="shared" si="4"/>
        <v>0</v>
      </c>
      <c r="T7" s="4">
        <v>0</v>
      </c>
      <c r="U7" s="4">
        <v>200000</v>
      </c>
      <c r="V7" s="4"/>
      <c r="W7" s="4">
        <v>200000</v>
      </c>
      <c r="X7" s="4"/>
      <c r="Y7" s="4"/>
      <c r="Z7" s="4"/>
      <c r="AA7" s="3"/>
      <c r="AB7" s="3" t="s">
        <v>701</v>
      </c>
      <c r="AC7" s="3">
        <v>732000</v>
      </c>
      <c r="AD7" s="380"/>
      <c r="AE7" s="4"/>
      <c r="AF7" s="4">
        <v>50000</v>
      </c>
      <c r="AG7" s="4">
        <v>50000</v>
      </c>
      <c r="AH7" s="4"/>
      <c r="AI7" s="4">
        <v>100000</v>
      </c>
      <c r="AJ7" s="4"/>
      <c r="AK7" s="4"/>
      <c r="AL7" s="435"/>
      <c r="AM7" s="4">
        <v>200000</v>
      </c>
      <c r="AN7" s="4">
        <v>0</v>
      </c>
      <c r="AO7" s="4"/>
      <c r="AP7" s="4">
        <v>200000</v>
      </c>
      <c r="AQ7" s="4"/>
      <c r="AR7" s="4"/>
      <c r="AS7" s="4"/>
      <c r="AT7" s="4"/>
      <c r="AU7" s="4"/>
      <c r="AV7" s="4">
        <f t="shared" si="6"/>
        <v>0</v>
      </c>
      <c r="AW7" s="4"/>
      <c r="AX7" s="4"/>
      <c r="AY7" s="4"/>
      <c r="AZ7" s="4"/>
    </row>
    <row r="8" spans="1:59" ht="31.95" customHeight="1">
      <c r="A8" s="3">
        <f t="shared" si="5"/>
        <v>4</v>
      </c>
      <c r="B8" s="3">
        <v>1253</v>
      </c>
      <c r="C8" s="3" t="s">
        <v>48</v>
      </c>
      <c r="D8" s="4">
        <v>5600000</v>
      </c>
      <c r="E8" s="4">
        <v>5200000</v>
      </c>
      <c r="F8" s="4">
        <f t="shared" si="0"/>
        <v>400000</v>
      </c>
      <c r="G8" s="4">
        <v>4900000</v>
      </c>
      <c r="H8" s="4">
        <v>4676568</v>
      </c>
      <c r="I8" s="4">
        <v>0</v>
      </c>
      <c r="J8" s="4">
        <v>126598</v>
      </c>
      <c r="K8" s="4">
        <f>SUM(I8:J8)</f>
        <v>126598</v>
      </c>
      <c r="L8" s="4">
        <f>K8+H8</f>
        <v>4803166</v>
      </c>
      <c r="M8" s="4">
        <f t="shared" si="1"/>
        <v>296834</v>
      </c>
      <c r="N8" s="4">
        <v>500000</v>
      </c>
      <c r="O8" s="4">
        <f t="shared" si="2"/>
        <v>0</v>
      </c>
      <c r="P8" s="4">
        <f t="shared" si="3"/>
        <v>96834</v>
      </c>
      <c r="Q8" s="4">
        <v>200000</v>
      </c>
      <c r="R8" s="4"/>
      <c r="S8" s="4">
        <f t="shared" si="4"/>
        <v>200000</v>
      </c>
      <c r="T8" s="4">
        <v>0</v>
      </c>
      <c r="U8" s="4">
        <v>500000</v>
      </c>
      <c r="V8" s="4"/>
      <c r="W8" s="4">
        <v>500000</v>
      </c>
      <c r="X8" s="4"/>
      <c r="Y8" s="4"/>
      <c r="Z8" s="4"/>
      <c r="AA8" s="3"/>
      <c r="AB8" s="3" t="s">
        <v>284</v>
      </c>
      <c r="AC8" s="3">
        <v>850000</v>
      </c>
      <c r="AD8" s="380"/>
      <c r="AE8" s="4"/>
      <c r="AF8" s="4">
        <v>500000</v>
      </c>
      <c r="AG8" s="4"/>
      <c r="AH8" s="4"/>
      <c r="AI8" s="4"/>
      <c r="AJ8" s="4"/>
      <c r="AK8" s="4"/>
      <c r="AL8" s="435"/>
      <c r="AM8" s="4">
        <v>500000</v>
      </c>
      <c r="AN8" s="4">
        <v>0</v>
      </c>
      <c r="AO8" s="4"/>
      <c r="AP8" s="4">
        <v>500000</v>
      </c>
      <c r="AQ8" s="4"/>
      <c r="AR8" s="4"/>
      <c r="AS8" s="4"/>
      <c r="AT8" s="4"/>
      <c r="AU8" s="4"/>
      <c r="AV8" s="4">
        <f t="shared" si="6"/>
        <v>0</v>
      </c>
      <c r="AW8" s="4"/>
      <c r="AX8" s="4"/>
      <c r="AY8" s="4"/>
      <c r="AZ8" s="4"/>
    </row>
    <row r="9" spans="1:59" ht="31.95" customHeight="1">
      <c r="A9" s="3">
        <f t="shared" si="5"/>
        <v>5</v>
      </c>
      <c r="B9" s="3">
        <v>1254</v>
      </c>
      <c r="C9" s="3" t="s">
        <v>300</v>
      </c>
      <c r="D9" s="4">
        <f>49000000+10000000-10000000</f>
        <v>49000000</v>
      </c>
      <c r="E9" s="4">
        <v>49000000</v>
      </c>
      <c r="F9" s="4">
        <f t="shared" si="0"/>
        <v>0</v>
      </c>
      <c r="G9" s="4">
        <v>43072866</v>
      </c>
      <c r="H9" s="4">
        <v>40003100</v>
      </c>
      <c r="I9" s="4">
        <v>0</v>
      </c>
      <c r="J9" s="4">
        <v>3065769</v>
      </c>
      <c r="K9" s="4">
        <f>I9+J9</f>
        <v>3065769</v>
      </c>
      <c r="L9" s="4">
        <f>H9+K9</f>
        <v>43068869</v>
      </c>
      <c r="M9" s="4">
        <f t="shared" si="1"/>
        <v>3997</v>
      </c>
      <c r="N9" s="4">
        <f>6200000+3300000-4500000-1000000</f>
        <v>4000000</v>
      </c>
      <c r="O9" s="4">
        <f t="shared" si="2"/>
        <v>1927134</v>
      </c>
      <c r="P9" s="4">
        <f t="shared" si="3"/>
        <v>3997</v>
      </c>
      <c r="Q9" s="4"/>
      <c r="R9" s="4"/>
      <c r="S9" s="4">
        <f t="shared" si="4"/>
        <v>0</v>
      </c>
      <c r="T9" s="4">
        <v>0</v>
      </c>
      <c r="U9" s="4">
        <v>4000000</v>
      </c>
      <c r="V9" s="4"/>
      <c r="W9" s="154">
        <v>4000000</v>
      </c>
      <c r="X9" s="4"/>
      <c r="Y9" s="4"/>
      <c r="Z9" s="4"/>
      <c r="AA9" s="4"/>
      <c r="AB9" s="3" t="s">
        <v>463</v>
      </c>
      <c r="AC9" s="3">
        <v>746000</v>
      </c>
      <c r="AD9" s="380"/>
      <c r="AE9" s="4">
        <v>1000000</v>
      </c>
      <c r="AF9" s="4"/>
      <c r="AG9" s="4">
        <v>1000000</v>
      </c>
      <c r="AH9" s="4">
        <v>700000</v>
      </c>
      <c r="AI9" s="4"/>
      <c r="AJ9" s="4">
        <v>1300000</v>
      </c>
      <c r="AK9" s="4"/>
      <c r="AL9" s="435"/>
      <c r="AM9" s="4">
        <v>4000000</v>
      </c>
      <c r="AN9" s="4">
        <v>0</v>
      </c>
      <c r="AO9" s="4"/>
      <c r="AP9" s="4">
        <v>4000000</v>
      </c>
      <c r="AQ9" s="4"/>
      <c r="AR9" s="4"/>
      <c r="AS9" s="4"/>
      <c r="AT9" s="4"/>
      <c r="AU9" s="4"/>
      <c r="AV9" s="4">
        <f t="shared" si="6"/>
        <v>0</v>
      </c>
      <c r="AW9" s="4"/>
      <c r="AX9" s="4"/>
      <c r="AY9" s="4"/>
      <c r="AZ9" s="4"/>
    </row>
    <row r="10" spans="1:59" ht="31.95" customHeight="1">
      <c r="A10" s="3">
        <f t="shared" si="5"/>
        <v>6</v>
      </c>
      <c r="B10" s="3">
        <v>1342</v>
      </c>
      <c r="C10" s="3" t="s">
        <v>68</v>
      </c>
      <c r="D10" s="4">
        <f>4700000+2000000-2000000</f>
        <v>4700000</v>
      </c>
      <c r="E10" s="4">
        <v>4700000</v>
      </c>
      <c r="F10" s="4">
        <f t="shared" si="0"/>
        <v>0</v>
      </c>
      <c r="G10" s="4">
        <v>2890000</v>
      </c>
      <c r="H10" s="4">
        <v>2878272</v>
      </c>
      <c r="I10" s="4">
        <v>0</v>
      </c>
      <c r="J10" s="4">
        <v>0</v>
      </c>
      <c r="K10" s="4">
        <f>I10+J10</f>
        <v>0</v>
      </c>
      <c r="L10" s="4">
        <f>H10+K10</f>
        <v>2878272</v>
      </c>
      <c r="M10" s="4">
        <f t="shared" si="1"/>
        <v>11728</v>
      </c>
      <c r="N10" s="4">
        <v>1050000</v>
      </c>
      <c r="O10" s="4">
        <f t="shared" si="2"/>
        <v>760000</v>
      </c>
      <c r="P10" s="4">
        <f t="shared" si="3"/>
        <v>11728</v>
      </c>
      <c r="Q10" s="4"/>
      <c r="R10" s="4"/>
      <c r="S10" s="4">
        <f t="shared" si="4"/>
        <v>0</v>
      </c>
      <c r="T10" s="4">
        <v>0</v>
      </c>
      <c r="U10" s="4">
        <v>1050000</v>
      </c>
      <c r="V10" s="4">
        <v>850000</v>
      </c>
      <c r="W10" s="154">
        <v>200000</v>
      </c>
      <c r="X10" s="4"/>
      <c r="Y10" s="4"/>
      <c r="Z10" s="4"/>
      <c r="AA10" s="4"/>
      <c r="AB10" s="3" t="s">
        <v>998</v>
      </c>
      <c r="AC10" s="3">
        <v>746000</v>
      </c>
      <c r="AD10" s="380"/>
      <c r="AE10" s="4">
        <v>100000</v>
      </c>
      <c r="AF10" s="4"/>
      <c r="AG10" s="4">
        <v>400000</v>
      </c>
      <c r="AH10" s="4"/>
      <c r="AI10" s="4"/>
      <c r="AJ10" s="4"/>
      <c r="AK10" s="4"/>
      <c r="AL10" s="435">
        <v>550000</v>
      </c>
      <c r="AM10" s="4">
        <v>1050000</v>
      </c>
      <c r="AN10" s="435">
        <v>0</v>
      </c>
      <c r="AO10" s="4">
        <v>850000</v>
      </c>
      <c r="AP10" s="4">
        <v>200000</v>
      </c>
      <c r="AQ10" s="4"/>
      <c r="AR10" s="4"/>
      <c r="AS10" s="4"/>
      <c r="AT10" s="4"/>
      <c r="AU10" s="4">
        <v>350000</v>
      </c>
      <c r="AV10" s="4">
        <f t="shared" si="6"/>
        <v>200000</v>
      </c>
      <c r="AW10" s="4"/>
      <c r="AX10" s="4"/>
      <c r="AY10" s="4"/>
      <c r="AZ10" s="4"/>
    </row>
    <row r="11" spans="1:59" ht="31.95" customHeight="1">
      <c r="A11" s="3">
        <f t="shared" si="5"/>
        <v>7</v>
      </c>
      <c r="B11" s="3">
        <v>1343</v>
      </c>
      <c r="C11" s="3" t="s">
        <v>69</v>
      </c>
      <c r="D11" s="4">
        <f>8000000-830000</f>
        <v>7170000</v>
      </c>
      <c r="E11" s="4">
        <v>7020000</v>
      </c>
      <c r="F11" s="4">
        <f t="shared" si="0"/>
        <v>150000</v>
      </c>
      <c r="G11" s="4">
        <v>7020000</v>
      </c>
      <c r="H11" s="4">
        <v>6344296</v>
      </c>
      <c r="I11" s="4">
        <v>0</v>
      </c>
      <c r="J11" s="4">
        <v>502097</v>
      </c>
      <c r="K11" s="4">
        <f>I11+J11</f>
        <v>502097</v>
      </c>
      <c r="L11" s="4">
        <f>H11+K11</f>
        <v>6846393</v>
      </c>
      <c r="M11" s="4">
        <f t="shared" si="1"/>
        <v>173607</v>
      </c>
      <c r="N11" s="4">
        <f>200000-50000</f>
        <v>150000</v>
      </c>
      <c r="O11" s="4">
        <f t="shared" si="2"/>
        <v>0</v>
      </c>
      <c r="P11" s="4">
        <f t="shared" si="3"/>
        <v>173607</v>
      </c>
      <c r="Q11" s="4"/>
      <c r="R11" s="4"/>
      <c r="S11" s="4">
        <f t="shared" si="4"/>
        <v>0</v>
      </c>
      <c r="T11" s="4">
        <v>0</v>
      </c>
      <c r="U11" s="4">
        <v>150000</v>
      </c>
      <c r="V11" s="4"/>
      <c r="W11" s="154">
        <v>150000</v>
      </c>
      <c r="X11" s="4"/>
      <c r="Y11" s="4"/>
      <c r="Z11" s="4"/>
      <c r="AA11" s="4"/>
      <c r="AB11" s="3" t="s">
        <v>518</v>
      </c>
      <c r="AC11" s="3">
        <v>746000</v>
      </c>
      <c r="AD11" s="380"/>
      <c r="AE11" s="4"/>
      <c r="AF11" s="4"/>
      <c r="AG11" s="4"/>
      <c r="AH11" s="4"/>
      <c r="AI11" s="4"/>
      <c r="AJ11" s="4">
        <v>150000</v>
      </c>
      <c r="AK11" s="4"/>
      <c r="AL11" s="435"/>
      <c r="AM11" s="4">
        <v>150000</v>
      </c>
      <c r="AN11" s="4">
        <v>0</v>
      </c>
      <c r="AO11" s="4"/>
      <c r="AP11" s="4">
        <v>150000</v>
      </c>
      <c r="AQ11" s="4"/>
      <c r="AR11" s="4"/>
      <c r="AS11" s="4"/>
      <c r="AT11" s="4"/>
      <c r="AU11" s="4"/>
      <c r="AV11" s="4">
        <f t="shared" si="6"/>
        <v>0</v>
      </c>
      <c r="AW11" s="4"/>
      <c r="AX11" s="4"/>
      <c r="AY11" s="4"/>
      <c r="AZ11" s="4"/>
    </row>
    <row r="12" spans="1:59" ht="31.95" customHeight="1">
      <c r="A12" s="3">
        <f t="shared" si="5"/>
        <v>8</v>
      </c>
      <c r="B12" s="3">
        <v>1345</v>
      </c>
      <c r="C12" s="3" t="s">
        <v>362</v>
      </c>
      <c r="D12" s="4">
        <v>883000</v>
      </c>
      <c r="E12" s="4">
        <v>883000</v>
      </c>
      <c r="F12" s="4">
        <f t="shared" si="0"/>
        <v>0</v>
      </c>
      <c r="G12" s="4">
        <v>883000</v>
      </c>
      <c r="H12" s="4">
        <v>825751</v>
      </c>
      <c r="I12" s="4">
        <v>0</v>
      </c>
      <c r="J12" s="4">
        <v>33345</v>
      </c>
      <c r="K12" s="4">
        <f>I12+J12</f>
        <v>33345</v>
      </c>
      <c r="L12" s="4">
        <f>H12+K12</f>
        <v>859096</v>
      </c>
      <c r="M12" s="4">
        <f t="shared" si="1"/>
        <v>23904</v>
      </c>
      <c r="N12" s="4"/>
      <c r="O12" s="4">
        <f t="shared" si="2"/>
        <v>0</v>
      </c>
      <c r="P12" s="4">
        <f t="shared" si="3"/>
        <v>23904</v>
      </c>
      <c r="Q12" s="4"/>
      <c r="R12" s="4"/>
      <c r="S12" s="4">
        <f t="shared" si="4"/>
        <v>0</v>
      </c>
      <c r="T12" s="4">
        <v>0</v>
      </c>
      <c r="U12" s="4">
        <v>0</v>
      </c>
      <c r="V12" s="4"/>
      <c r="W12" s="154">
        <v>0</v>
      </c>
      <c r="X12" s="4"/>
      <c r="Y12" s="4"/>
      <c r="Z12" s="4"/>
      <c r="AA12" s="4"/>
      <c r="AB12" s="3" t="s">
        <v>435</v>
      </c>
      <c r="AC12" s="3">
        <v>870000</v>
      </c>
      <c r="AD12" s="380"/>
      <c r="AE12" s="4"/>
      <c r="AF12" s="4"/>
      <c r="AG12" s="4"/>
      <c r="AH12" s="4"/>
      <c r="AI12" s="4"/>
      <c r="AJ12" s="4"/>
      <c r="AK12" s="4"/>
      <c r="AL12" s="435"/>
      <c r="AM12" s="4">
        <v>0</v>
      </c>
      <c r="AN12" s="4">
        <v>0</v>
      </c>
      <c r="AO12" s="4"/>
      <c r="AP12" s="4">
        <v>0</v>
      </c>
      <c r="AQ12" s="4"/>
      <c r="AR12" s="4"/>
      <c r="AS12" s="4"/>
      <c r="AT12" s="4"/>
      <c r="AU12" s="4"/>
      <c r="AV12" s="4">
        <f t="shared" si="6"/>
        <v>0</v>
      </c>
      <c r="AW12" s="4"/>
      <c r="AX12" s="4"/>
      <c r="AY12" s="4"/>
      <c r="AZ12" s="4"/>
    </row>
    <row r="13" spans="1:59" ht="31.95" customHeight="1">
      <c r="A13" s="3">
        <f t="shared" si="5"/>
        <v>9</v>
      </c>
      <c r="B13" s="3">
        <v>1415</v>
      </c>
      <c r="C13" s="3" t="s">
        <v>702</v>
      </c>
      <c r="D13" s="4">
        <f>1660000+40000</f>
        <v>1700000</v>
      </c>
      <c r="E13" s="4">
        <v>1400000</v>
      </c>
      <c r="F13" s="4">
        <f t="shared" si="0"/>
        <v>300000</v>
      </c>
      <c r="G13" s="4">
        <f>1340000+40000</f>
        <v>1380000</v>
      </c>
      <c r="H13" s="4">
        <v>1187427</v>
      </c>
      <c r="I13" s="4">
        <v>0</v>
      </c>
      <c r="J13" s="4">
        <v>192573</v>
      </c>
      <c r="K13" s="4">
        <f>SUM(I13:J13)</f>
        <v>192573</v>
      </c>
      <c r="L13" s="4">
        <f>K13+H13</f>
        <v>1380000</v>
      </c>
      <c r="M13" s="4">
        <f t="shared" si="1"/>
        <v>20000</v>
      </c>
      <c r="N13" s="4">
        <v>300000</v>
      </c>
      <c r="O13" s="4">
        <f t="shared" si="2"/>
        <v>0</v>
      </c>
      <c r="P13" s="4">
        <f t="shared" si="3"/>
        <v>0</v>
      </c>
      <c r="Q13" s="4">
        <v>20000</v>
      </c>
      <c r="R13" s="4"/>
      <c r="S13" s="4">
        <f t="shared" si="4"/>
        <v>20000</v>
      </c>
      <c r="T13" s="4">
        <v>0</v>
      </c>
      <c r="U13" s="4">
        <v>300000</v>
      </c>
      <c r="V13" s="4"/>
      <c r="W13" s="4">
        <v>300000</v>
      </c>
      <c r="X13" s="4"/>
      <c r="Y13" s="4"/>
      <c r="Z13" s="4"/>
      <c r="AA13" s="3"/>
      <c r="AB13" s="3" t="s">
        <v>502</v>
      </c>
      <c r="AC13" s="3">
        <v>930000</v>
      </c>
      <c r="AD13" s="380"/>
      <c r="AE13" s="4">
        <v>25000</v>
      </c>
      <c r="AF13" s="4">
        <v>50000</v>
      </c>
      <c r="AG13" s="4">
        <v>50000</v>
      </c>
      <c r="AH13" s="4">
        <v>50000</v>
      </c>
      <c r="AI13" s="4">
        <v>125000</v>
      </c>
      <c r="AJ13" s="4"/>
      <c r="AK13" s="4"/>
      <c r="AL13" s="435"/>
      <c r="AM13" s="4">
        <v>300000</v>
      </c>
      <c r="AN13" s="4">
        <v>0</v>
      </c>
      <c r="AO13" s="4"/>
      <c r="AP13" s="4">
        <v>300000</v>
      </c>
      <c r="AQ13" s="4"/>
      <c r="AR13" s="4"/>
      <c r="AS13" s="4"/>
      <c r="AT13" s="4"/>
      <c r="AU13" s="4"/>
      <c r="AV13" s="4">
        <f t="shared" si="6"/>
        <v>0</v>
      </c>
      <c r="AW13" s="4"/>
      <c r="AX13" s="4"/>
      <c r="AY13" s="4"/>
      <c r="AZ13" s="4"/>
    </row>
    <row r="14" spans="1:59" ht="31.95" customHeight="1">
      <c r="A14" s="3">
        <f t="shared" si="5"/>
        <v>10</v>
      </c>
      <c r="B14" s="3">
        <v>1416</v>
      </c>
      <c r="C14" s="3" t="s">
        <v>98</v>
      </c>
      <c r="D14" s="4">
        <v>3000000</v>
      </c>
      <c r="E14" s="4">
        <v>2400000</v>
      </c>
      <c r="F14" s="4">
        <f t="shared" si="0"/>
        <v>600000</v>
      </c>
      <c r="G14" s="4">
        <v>2400000</v>
      </c>
      <c r="H14" s="4">
        <v>2117402</v>
      </c>
      <c r="I14" s="4">
        <v>0</v>
      </c>
      <c r="J14" s="4">
        <v>212772</v>
      </c>
      <c r="K14" s="4">
        <f>SUM(I14:J14)</f>
        <v>212772</v>
      </c>
      <c r="L14" s="4">
        <f>K14+H14</f>
        <v>2330174</v>
      </c>
      <c r="M14" s="4">
        <f t="shared" si="1"/>
        <v>69826</v>
      </c>
      <c r="N14" s="4">
        <v>600000</v>
      </c>
      <c r="O14" s="4">
        <f t="shared" si="2"/>
        <v>0</v>
      </c>
      <c r="P14" s="4">
        <f t="shared" si="3"/>
        <v>69826</v>
      </c>
      <c r="Q14" s="4"/>
      <c r="R14" s="4"/>
      <c r="S14" s="4">
        <f t="shared" si="4"/>
        <v>0</v>
      </c>
      <c r="T14" s="4">
        <v>0</v>
      </c>
      <c r="U14" s="4">
        <v>600000</v>
      </c>
      <c r="V14" s="4"/>
      <c r="W14" s="4">
        <v>600000</v>
      </c>
      <c r="X14" s="4"/>
      <c r="Y14" s="4"/>
      <c r="Z14" s="4"/>
      <c r="AA14" s="3"/>
      <c r="AB14" s="3" t="s">
        <v>285</v>
      </c>
      <c r="AC14" s="3">
        <v>930000</v>
      </c>
      <c r="AD14" s="380"/>
      <c r="AE14" s="4">
        <v>230000</v>
      </c>
      <c r="AF14" s="4">
        <v>220000</v>
      </c>
      <c r="AG14" s="4"/>
      <c r="AH14" s="4"/>
      <c r="AI14" s="4">
        <v>100000</v>
      </c>
      <c r="AJ14" s="4"/>
      <c r="AK14" s="4"/>
      <c r="AL14" s="435">
        <v>50000</v>
      </c>
      <c r="AM14" s="4">
        <v>600000</v>
      </c>
      <c r="AN14" s="435">
        <v>0</v>
      </c>
      <c r="AO14" s="4"/>
      <c r="AP14" s="4">
        <v>600000</v>
      </c>
      <c r="AQ14" s="4"/>
      <c r="AR14" s="4"/>
      <c r="AS14" s="4"/>
      <c r="AT14" s="4"/>
      <c r="AU14" s="4"/>
      <c r="AV14" s="4">
        <f t="shared" si="6"/>
        <v>50000</v>
      </c>
      <c r="AW14" s="4"/>
      <c r="AX14" s="4"/>
      <c r="AY14" s="4"/>
      <c r="AZ14" s="4"/>
    </row>
    <row r="15" spans="1:59" ht="31.95" customHeight="1">
      <c r="A15" s="3">
        <f t="shared" si="5"/>
        <v>11</v>
      </c>
      <c r="B15" s="3">
        <v>1435</v>
      </c>
      <c r="C15" s="28" t="s">
        <v>436</v>
      </c>
      <c r="D15" s="4">
        <f>32574320+2800000</f>
        <v>35374320</v>
      </c>
      <c r="E15" s="4">
        <v>32574320</v>
      </c>
      <c r="F15" s="4">
        <f t="shared" si="0"/>
        <v>2800000</v>
      </c>
      <c r="G15" s="4">
        <v>31874320</v>
      </c>
      <c r="H15" s="4">
        <v>27812822</v>
      </c>
      <c r="I15" s="4">
        <v>0</v>
      </c>
      <c r="J15" s="4">
        <v>2522859</v>
      </c>
      <c r="K15" s="4">
        <f>I15+J15</f>
        <v>2522859</v>
      </c>
      <c r="L15" s="4">
        <f>H15+K15</f>
        <v>30335681</v>
      </c>
      <c r="M15" s="4">
        <f t="shared" si="1"/>
        <v>1538639</v>
      </c>
      <c r="N15" s="4">
        <v>3500000</v>
      </c>
      <c r="O15" s="4">
        <f t="shared" si="2"/>
        <v>0</v>
      </c>
      <c r="P15" s="4">
        <f t="shared" si="3"/>
        <v>1538639</v>
      </c>
      <c r="Q15" s="4"/>
      <c r="R15" s="4"/>
      <c r="S15" s="4">
        <f t="shared" si="4"/>
        <v>0</v>
      </c>
      <c r="T15" s="4">
        <v>0</v>
      </c>
      <c r="U15" s="4">
        <v>3500000</v>
      </c>
      <c r="V15" s="4"/>
      <c r="W15" s="154">
        <v>3500000</v>
      </c>
      <c r="X15" s="4"/>
      <c r="Y15" s="4"/>
      <c r="Z15" s="4"/>
      <c r="AA15" s="4"/>
      <c r="AB15" s="3" t="s">
        <v>796</v>
      </c>
      <c r="AC15" s="3">
        <v>848500</v>
      </c>
      <c r="AD15" s="380"/>
      <c r="AE15" s="4">
        <v>500000</v>
      </c>
      <c r="AF15" s="4"/>
      <c r="AG15" s="4">
        <v>500000</v>
      </c>
      <c r="AH15" s="4"/>
      <c r="AI15" s="4"/>
      <c r="AJ15" s="4">
        <v>750000</v>
      </c>
      <c r="AK15" s="4"/>
      <c r="AL15" s="435">
        <v>1750000</v>
      </c>
      <c r="AM15" s="4">
        <v>3500000</v>
      </c>
      <c r="AN15" s="435">
        <v>0</v>
      </c>
      <c r="AO15" s="4"/>
      <c r="AP15" s="4">
        <v>3500000</v>
      </c>
      <c r="AQ15" s="4"/>
      <c r="AR15" s="4"/>
      <c r="AS15" s="4"/>
      <c r="AT15" s="4"/>
      <c r="AU15" s="4"/>
      <c r="AV15" s="4">
        <f t="shared" si="6"/>
        <v>1750000</v>
      </c>
      <c r="AW15" s="4"/>
      <c r="AX15" s="4"/>
      <c r="AY15" s="4"/>
      <c r="AZ15" s="4"/>
    </row>
    <row r="16" spans="1:59" ht="31.95" customHeight="1">
      <c r="A16" s="3">
        <f t="shared" si="5"/>
        <v>12</v>
      </c>
      <c r="B16" s="3">
        <v>1477</v>
      </c>
      <c r="C16" s="3" t="s">
        <v>503</v>
      </c>
      <c r="D16" s="4">
        <v>9350000</v>
      </c>
      <c r="E16" s="4">
        <v>9350000</v>
      </c>
      <c r="F16" s="4">
        <f t="shared" si="0"/>
        <v>0</v>
      </c>
      <c r="G16" s="4">
        <v>5650000</v>
      </c>
      <c r="H16" s="4">
        <v>3136693</v>
      </c>
      <c r="I16" s="4">
        <v>554098</v>
      </c>
      <c r="J16" s="4">
        <v>1795171</v>
      </c>
      <c r="K16" s="4">
        <f>SUM(I16:J16)</f>
        <v>2349269</v>
      </c>
      <c r="L16" s="4">
        <f>K16+H16</f>
        <v>5485962</v>
      </c>
      <c r="M16" s="4">
        <f t="shared" si="1"/>
        <v>164038</v>
      </c>
      <c r="N16" s="4">
        <f>1000000+500000*2</f>
        <v>2000000</v>
      </c>
      <c r="O16" s="4">
        <f t="shared" si="2"/>
        <v>1700000</v>
      </c>
      <c r="P16" s="4">
        <f t="shared" si="3"/>
        <v>164038</v>
      </c>
      <c r="Q16" s="4"/>
      <c r="R16" s="4"/>
      <c r="S16" s="4">
        <f t="shared" si="4"/>
        <v>0</v>
      </c>
      <c r="T16" s="4">
        <v>0</v>
      </c>
      <c r="U16" s="4">
        <v>2000000</v>
      </c>
      <c r="V16" s="4"/>
      <c r="W16" s="4">
        <v>2000000</v>
      </c>
      <c r="X16" s="4"/>
      <c r="Y16" s="4"/>
      <c r="Z16" s="4"/>
      <c r="AA16" s="3"/>
      <c r="AB16" s="381" t="s">
        <v>703</v>
      </c>
      <c r="AC16" s="381">
        <v>810000</v>
      </c>
      <c r="AD16" s="380"/>
      <c r="AE16" s="4"/>
      <c r="AF16" s="4"/>
      <c r="AG16" s="4"/>
      <c r="AH16" s="4"/>
      <c r="AI16" s="4">
        <v>2000000</v>
      </c>
      <c r="AJ16" s="4"/>
      <c r="AK16" s="4"/>
      <c r="AL16" s="435"/>
      <c r="AM16" s="4">
        <v>2000000</v>
      </c>
      <c r="AN16" s="4">
        <v>0</v>
      </c>
      <c r="AO16" s="4"/>
      <c r="AP16" s="4">
        <v>2000000</v>
      </c>
      <c r="AQ16" s="4"/>
      <c r="AR16" s="4"/>
      <c r="AS16" s="4"/>
      <c r="AT16" s="4"/>
      <c r="AU16" s="4"/>
      <c r="AV16" s="4">
        <f t="shared" si="6"/>
        <v>0</v>
      </c>
      <c r="AW16" s="4"/>
      <c r="AX16" s="4"/>
      <c r="AY16" s="4"/>
      <c r="AZ16" s="4"/>
    </row>
    <row r="17" spans="1:59" ht="31.95" customHeight="1">
      <c r="A17" s="3">
        <f t="shared" si="5"/>
        <v>13</v>
      </c>
      <c r="B17" s="3">
        <v>1489</v>
      </c>
      <c r="C17" s="3" t="s">
        <v>286</v>
      </c>
      <c r="D17" s="4">
        <f>55000000+6500000</f>
        <v>61500000</v>
      </c>
      <c r="E17" s="4">
        <v>55000000</v>
      </c>
      <c r="F17" s="4">
        <f t="shared" si="0"/>
        <v>6500000</v>
      </c>
      <c r="G17" s="4">
        <v>55000000</v>
      </c>
      <c r="H17" s="4">
        <v>47984649</v>
      </c>
      <c r="I17" s="4">
        <v>0</v>
      </c>
      <c r="J17" s="4">
        <v>3914002</v>
      </c>
      <c r="K17" s="4">
        <f>SUM(I17:J17)</f>
        <v>3914002</v>
      </c>
      <c r="L17" s="4">
        <f>K17+H17</f>
        <v>51898651</v>
      </c>
      <c r="M17" s="4">
        <f t="shared" si="1"/>
        <v>3101349</v>
      </c>
      <c r="N17" s="4">
        <v>6500000</v>
      </c>
      <c r="O17" s="4">
        <f t="shared" si="2"/>
        <v>0</v>
      </c>
      <c r="P17" s="4">
        <f t="shared" si="3"/>
        <v>3101349</v>
      </c>
      <c r="Q17" s="4"/>
      <c r="R17" s="4"/>
      <c r="S17" s="4">
        <f t="shared" si="4"/>
        <v>0</v>
      </c>
      <c r="T17" s="4">
        <v>0</v>
      </c>
      <c r="U17" s="4">
        <v>6500000</v>
      </c>
      <c r="V17" s="4"/>
      <c r="W17" s="4">
        <v>6500000</v>
      </c>
      <c r="X17" s="4"/>
      <c r="Y17" s="4"/>
      <c r="Z17" s="4"/>
      <c r="AA17" s="3"/>
      <c r="AB17" s="3" t="s">
        <v>591</v>
      </c>
      <c r="AC17" s="3">
        <v>742000</v>
      </c>
      <c r="AD17" s="380"/>
      <c r="AE17" s="4"/>
      <c r="AF17" s="4">
        <v>1000000</v>
      </c>
      <c r="AG17" s="4">
        <v>1000000</v>
      </c>
      <c r="AH17" s="4"/>
      <c r="AI17" s="4"/>
      <c r="AJ17" s="4"/>
      <c r="AK17" s="4">
        <v>2000000</v>
      </c>
      <c r="AL17" s="435">
        <v>2500000</v>
      </c>
      <c r="AM17" s="4">
        <v>6500000</v>
      </c>
      <c r="AN17" s="435">
        <v>0</v>
      </c>
      <c r="AO17" s="4"/>
      <c r="AP17" s="4">
        <v>6500000</v>
      </c>
      <c r="AQ17" s="4"/>
      <c r="AR17" s="4"/>
      <c r="AS17" s="4"/>
      <c r="AT17" s="4"/>
      <c r="AU17" s="4"/>
      <c r="AV17" s="4">
        <f t="shared" si="6"/>
        <v>2500000</v>
      </c>
      <c r="AW17" s="4"/>
      <c r="AX17" s="4"/>
      <c r="AY17" s="4"/>
      <c r="AZ17" s="4"/>
    </row>
    <row r="18" spans="1:59" ht="31.95" customHeight="1">
      <c r="A18" s="3">
        <f t="shared" si="5"/>
        <v>14</v>
      </c>
      <c r="B18" s="3">
        <v>1504</v>
      </c>
      <c r="C18" s="3" t="s">
        <v>70</v>
      </c>
      <c r="D18" s="4">
        <v>2500000</v>
      </c>
      <c r="E18" s="4">
        <v>2500000</v>
      </c>
      <c r="F18" s="4">
        <f t="shared" si="0"/>
        <v>0</v>
      </c>
      <c r="G18" s="4">
        <v>1500000</v>
      </c>
      <c r="H18" s="4">
        <v>1461344</v>
      </c>
      <c r="I18" s="4">
        <v>0</v>
      </c>
      <c r="J18" s="4">
        <v>0</v>
      </c>
      <c r="K18" s="4">
        <f>I18+J18</f>
        <v>0</v>
      </c>
      <c r="L18" s="4">
        <f>H18+K18</f>
        <v>1461344</v>
      </c>
      <c r="M18" s="4">
        <f t="shared" si="1"/>
        <v>38656</v>
      </c>
      <c r="N18" s="4">
        <v>500000</v>
      </c>
      <c r="O18" s="4">
        <f t="shared" si="2"/>
        <v>500000</v>
      </c>
      <c r="P18" s="4">
        <f t="shared" si="3"/>
        <v>38656</v>
      </c>
      <c r="Q18" s="4"/>
      <c r="R18" s="4"/>
      <c r="S18" s="4">
        <f t="shared" si="4"/>
        <v>0</v>
      </c>
      <c r="T18" s="4">
        <v>0</v>
      </c>
      <c r="U18" s="4">
        <v>500000</v>
      </c>
      <c r="V18" s="4">
        <v>500000</v>
      </c>
      <c r="W18" s="154">
        <v>0</v>
      </c>
      <c r="X18" s="4"/>
      <c r="Y18" s="4"/>
      <c r="Z18" s="4"/>
      <c r="AA18" s="4"/>
      <c r="AB18" s="3" t="s">
        <v>437</v>
      </c>
      <c r="AC18" s="3">
        <v>746000</v>
      </c>
      <c r="AD18" s="380"/>
      <c r="AE18" s="4">
        <v>100000</v>
      </c>
      <c r="AF18" s="4"/>
      <c r="AG18" s="4"/>
      <c r="AH18" s="4"/>
      <c r="AI18" s="4">
        <v>0</v>
      </c>
      <c r="AJ18" s="4">
        <v>0</v>
      </c>
      <c r="AK18" s="4"/>
      <c r="AL18" s="435"/>
      <c r="AM18" s="4">
        <v>100000</v>
      </c>
      <c r="AN18" s="4">
        <v>400000</v>
      </c>
      <c r="AO18" s="4">
        <v>100000</v>
      </c>
      <c r="AP18" s="4">
        <v>0</v>
      </c>
      <c r="AQ18" s="4"/>
      <c r="AR18" s="4"/>
      <c r="AS18" s="4"/>
      <c r="AT18" s="4"/>
      <c r="AU18" s="4"/>
      <c r="AV18" s="4">
        <f t="shared" si="6"/>
        <v>0</v>
      </c>
      <c r="AW18" s="4"/>
      <c r="AX18" s="4"/>
      <c r="AY18" s="4"/>
      <c r="AZ18" s="4"/>
      <c r="BA18" s="489"/>
    </row>
    <row r="19" spans="1:59" ht="31.95" customHeight="1">
      <c r="A19" s="3">
        <f t="shared" si="5"/>
        <v>15</v>
      </c>
      <c r="B19" s="3">
        <v>1560</v>
      </c>
      <c r="C19" s="3" t="s">
        <v>49</v>
      </c>
      <c r="D19" s="4">
        <f>6410000+1650000-550000</f>
        <v>7510000</v>
      </c>
      <c r="E19" s="4">
        <v>6410000</v>
      </c>
      <c r="F19" s="4">
        <f t="shared" si="0"/>
        <v>1100000</v>
      </c>
      <c r="G19" s="4">
        <v>6010000</v>
      </c>
      <c r="H19" s="4">
        <v>5855068</v>
      </c>
      <c r="I19" s="4">
        <v>0</v>
      </c>
      <c r="J19" s="4">
        <v>45783</v>
      </c>
      <c r="K19" s="4">
        <f>SUM(I19:J19)</f>
        <v>45783</v>
      </c>
      <c r="L19" s="4">
        <f>K19+H19</f>
        <v>5900851</v>
      </c>
      <c r="M19" s="4">
        <f t="shared" si="1"/>
        <v>109149</v>
      </c>
      <c r="N19" s="4">
        <f>2050000-550000-200000</f>
        <v>1300000</v>
      </c>
      <c r="O19" s="4">
        <f t="shared" si="2"/>
        <v>200000</v>
      </c>
      <c r="P19" s="4">
        <f t="shared" si="3"/>
        <v>109149</v>
      </c>
      <c r="Q19" s="4"/>
      <c r="R19" s="4"/>
      <c r="S19" s="4">
        <f t="shared" si="4"/>
        <v>0</v>
      </c>
      <c r="T19" s="4">
        <v>0</v>
      </c>
      <c r="U19" s="4">
        <v>1300000</v>
      </c>
      <c r="V19" s="4"/>
      <c r="W19" s="4">
        <v>1300000</v>
      </c>
      <c r="X19" s="4"/>
      <c r="Y19" s="4"/>
      <c r="Z19" s="4"/>
      <c r="AA19" s="3"/>
      <c r="AB19" s="3" t="s">
        <v>793</v>
      </c>
      <c r="AC19" s="3">
        <v>746000</v>
      </c>
      <c r="AD19" s="380"/>
      <c r="AE19" s="4">
        <v>500000</v>
      </c>
      <c r="AF19" s="4">
        <v>300000</v>
      </c>
      <c r="AG19" s="4"/>
      <c r="AH19" s="4"/>
      <c r="AI19" s="4"/>
      <c r="AJ19" s="4"/>
      <c r="AK19" s="4"/>
      <c r="AL19" s="435">
        <v>500000</v>
      </c>
      <c r="AM19" s="4">
        <v>1300000</v>
      </c>
      <c r="AN19" s="435">
        <v>0</v>
      </c>
      <c r="AO19" s="4"/>
      <c r="AP19" s="4">
        <v>1300000</v>
      </c>
      <c r="AQ19" s="4"/>
      <c r="AR19" s="4"/>
      <c r="AS19" s="4"/>
      <c r="AT19" s="4"/>
      <c r="AU19" s="4"/>
      <c r="AV19" s="4">
        <f t="shared" si="6"/>
        <v>500000</v>
      </c>
      <c r="AW19" s="4"/>
      <c r="AX19" s="4"/>
      <c r="AY19" s="4"/>
      <c r="AZ19" s="4"/>
    </row>
    <row r="20" spans="1:59" s="383" customFormat="1" ht="31.95" customHeight="1">
      <c r="A20" s="3">
        <f t="shared" si="5"/>
        <v>16</v>
      </c>
      <c r="B20" s="3">
        <v>1598</v>
      </c>
      <c r="C20" s="3" t="s">
        <v>58</v>
      </c>
      <c r="D20" s="4">
        <f>800000-193500+60000</f>
        <v>666500</v>
      </c>
      <c r="E20" s="4">
        <v>616500</v>
      </c>
      <c r="F20" s="4">
        <f t="shared" si="0"/>
        <v>50000</v>
      </c>
      <c r="G20" s="4">
        <v>616500</v>
      </c>
      <c r="H20" s="4">
        <v>487597</v>
      </c>
      <c r="I20" s="4">
        <v>0</v>
      </c>
      <c r="J20" s="4">
        <v>48549</v>
      </c>
      <c r="K20" s="4">
        <f>I20+J20</f>
        <v>48549</v>
      </c>
      <c r="L20" s="4">
        <f>H20+K20</f>
        <v>536146</v>
      </c>
      <c r="M20" s="4">
        <f>P20+S20-80000+80000</f>
        <v>80354</v>
      </c>
      <c r="N20" s="4">
        <f>150000-100000</f>
        <v>50000</v>
      </c>
      <c r="O20" s="4">
        <f t="shared" si="2"/>
        <v>0</v>
      </c>
      <c r="P20" s="4">
        <f t="shared" si="3"/>
        <v>80354</v>
      </c>
      <c r="Q20" s="4">
        <f>-60000+60000</f>
        <v>0</v>
      </c>
      <c r="R20" s="4">
        <f>-60000+60000</f>
        <v>0</v>
      </c>
      <c r="S20" s="4">
        <f t="shared" si="4"/>
        <v>0</v>
      </c>
      <c r="T20" s="4">
        <v>0</v>
      </c>
      <c r="U20" s="4">
        <v>50000</v>
      </c>
      <c r="V20" s="4"/>
      <c r="W20" s="154">
        <v>50000</v>
      </c>
      <c r="X20" s="4"/>
      <c r="Y20" s="4"/>
      <c r="Z20" s="4"/>
      <c r="AA20" s="4"/>
      <c r="AB20" s="3" t="s">
        <v>464</v>
      </c>
      <c r="AC20" s="3">
        <v>870000</v>
      </c>
      <c r="AD20" s="380"/>
      <c r="AE20" s="4"/>
      <c r="AF20" s="4"/>
      <c r="AG20" s="4"/>
      <c r="AH20" s="4"/>
      <c r="AI20" s="4"/>
      <c r="AJ20" s="4"/>
      <c r="AK20" s="4"/>
      <c r="AL20" s="435"/>
      <c r="AM20" s="4">
        <v>0</v>
      </c>
      <c r="AN20" s="4">
        <v>50000</v>
      </c>
      <c r="AO20" s="4"/>
      <c r="AP20" s="4">
        <v>0</v>
      </c>
      <c r="AQ20" s="4"/>
      <c r="AR20" s="4"/>
      <c r="AS20" s="4"/>
      <c r="AT20" s="4"/>
      <c r="AU20" s="4"/>
      <c r="AV20" s="4">
        <f t="shared" si="6"/>
        <v>0</v>
      </c>
      <c r="AW20" s="4"/>
      <c r="AX20" s="4"/>
      <c r="AY20" s="4"/>
      <c r="AZ20" s="4"/>
      <c r="BA20" s="372"/>
      <c r="BB20" s="372"/>
      <c r="BC20" s="372"/>
      <c r="BD20" s="372"/>
      <c r="BE20" s="372"/>
      <c r="BF20" s="372"/>
      <c r="BG20" s="372"/>
    </row>
    <row r="21" spans="1:59" ht="31.95" customHeight="1">
      <c r="A21" s="3">
        <f t="shared" si="5"/>
        <v>17</v>
      </c>
      <c r="B21" s="153">
        <v>1621</v>
      </c>
      <c r="C21" s="153" t="s">
        <v>50</v>
      </c>
      <c r="D21" s="154">
        <v>6030000</v>
      </c>
      <c r="E21" s="154">
        <v>3300000</v>
      </c>
      <c r="F21" s="154">
        <f t="shared" si="0"/>
        <v>2730000</v>
      </c>
      <c r="G21" s="154">
        <v>2800000</v>
      </c>
      <c r="H21" s="154">
        <v>2114380</v>
      </c>
      <c r="I21" s="154">
        <v>0</v>
      </c>
      <c r="J21" s="154">
        <v>103765</v>
      </c>
      <c r="K21" s="154">
        <f>SUM(I21:J21)</f>
        <v>103765</v>
      </c>
      <c r="L21" s="154">
        <f>H21+K21</f>
        <v>2218145</v>
      </c>
      <c r="M21" s="4">
        <f t="shared" si="1"/>
        <v>581855</v>
      </c>
      <c r="N21" s="154">
        <f>3230000-1000000-1000000</f>
        <v>1230000</v>
      </c>
      <c r="O21" s="4">
        <f t="shared" si="2"/>
        <v>2000000</v>
      </c>
      <c r="P21" s="154">
        <f t="shared" si="3"/>
        <v>581855</v>
      </c>
      <c r="Q21" s="154"/>
      <c r="R21" s="154"/>
      <c r="S21" s="154">
        <f t="shared" si="4"/>
        <v>0</v>
      </c>
      <c r="T21" s="154">
        <v>0</v>
      </c>
      <c r="U21" s="4">
        <v>1230000</v>
      </c>
      <c r="V21" s="154"/>
      <c r="W21" s="154">
        <v>1230000</v>
      </c>
      <c r="X21" s="154"/>
      <c r="Y21" s="154"/>
      <c r="Z21" s="154"/>
      <c r="AA21" s="153"/>
      <c r="AB21" s="242" t="s">
        <v>704</v>
      </c>
      <c r="AC21" s="153">
        <v>723000</v>
      </c>
      <c r="AD21" s="380"/>
      <c r="AE21" s="4"/>
      <c r="AF21" s="4"/>
      <c r="AG21" s="4"/>
      <c r="AH21" s="4"/>
      <c r="AI21" s="4"/>
      <c r="AJ21" s="4"/>
      <c r="AK21" s="4"/>
      <c r="AL21" s="435">
        <v>900000</v>
      </c>
      <c r="AM21" s="4">
        <v>900000</v>
      </c>
      <c r="AN21" s="4">
        <v>330000</v>
      </c>
      <c r="AO21" s="4"/>
      <c r="AP21" s="4">
        <v>900000</v>
      </c>
      <c r="AQ21" s="4"/>
      <c r="AR21" s="4"/>
      <c r="AS21" s="4"/>
      <c r="AT21" s="4"/>
      <c r="AU21" s="4"/>
      <c r="AV21" s="4">
        <f t="shared" si="6"/>
        <v>900000</v>
      </c>
      <c r="AW21" s="4"/>
      <c r="AX21" s="4"/>
      <c r="AY21" s="4"/>
      <c r="AZ21" s="4"/>
      <c r="BA21" s="489"/>
    </row>
    <row r="22" spans="1:59" ht="31.95" customHeight="1">
      <c r="A22" s="3">
        <f t="shared" si="5"/>
        <v>18</v>
      </c>
      <c r="B22" s="3">
        <v>1680</v>
      </c>
      <c r="C22" s="3" t="s">
        <v>71</v>
      </c>
      <c r="D22" s="4">
        <f>2800000+1000000-2500000</f>
        <v>1300000</v>
      </c>
      <c r="E22" s="4">
        <v>2800000</v>
      </c>
      <c r="F22" s="4">
        <f t="shared" si="0"/>
        <v>-1500000</v>
      </c>
      <c r="G22" s="4">
        <v>800000</v>
      </c>
      <c r="H22" s="4">
        <v>603520</v>
      </c>
      <c r="I22" s="4">
        <v>0</v>
      </c>
      <c r="J22" s="4">
        <v>121579</v>
      </c>
      <c r="K22" s="4">
        <f>I22+J22</f>
        <v>121579</v>
      </c>
      <c r="L22" s="4">
        <f>H22+K22</f>
        <v>725099</v>
      </c>
      <c r="M22" s="4">
        <f t="shared" si="1"/>
        <v>74901</v>
      </c>
      <c r="N22" s="4">
        <f>2000000-1500000</f>
        <v>500000</v>
      </c>
      <c r="O22" s="4">
        <f t="shared" si="2"/>
        <v>0</v>
      </c>
      <c r="P22" s="4">
        <f t="shared" si="3"/>
        <v>74901</v>
      </c>
      <c r="Q22" s="4"/>
      <c r="R22" s="4"/>
      <c r="S22" s="4">
        <f t="shared" si="4"/>
        <v>0</v>
      </c>
      <c r="T22" s="4">
        <v>0</v>
      </c>
      <c r="U22" s="4">
        <v>500000</v>
      </c>
      <c r="V22" s="4"/>
      <c r="W22" s="154">
        <v>500000</v>
      </c>
      <c r="X22" s="4"/>
      <c r="Y22" s="4"/>
      <c r="Z22" s="4"/>
      <c r="AA22" s="4"/>
      <c r="AB22" s="3" t="s">
        <v>520</v>
      </c>
      <c r="AC22" s="3">
        <v>746000</v>
      </c>
      <c r="AD22" s="380"/>
      <c r="AE22" s="4">
        <v>200000</v>
      </c>
      <c r="AF22" s="4"/>
      <c r="AG22" s="4"/>
      <c r="AH22" s="4">
        <v>300000</v>
      </c>
      <c r="AI22" s="4"/>
      <c r="AJ22" s="4"/>
      <c r="AK22" s="4"/>
      <c r="AL22" s="435"/>
      <c r="AM22" s="4">
        <v>500000</v>
      </c>
      <c r="AN22" s="4">
        <v>0</v>
      </c>
      <c r="AO22" s="4"/>
      <c r="AP22" s="4">
        <v>500000</v>
      </c>
      <c r="AQ22" s="4"/>
      <c r="AR22" s="4"/>
      <c r="AS22" s="4"/>
      <c r="AT22" s="4"/>
      <c r="AU22" s="4"/>
      <c r="AV22" s="4">
        <f t="shared" si="6"/>
        <v>0</v>
      </c>
      <c r="AW22" s="4"/>
      <c r="AX22" s="4"/>
      <c r="AY22" s="4"/>
      <c r="AZ22" s="4"/>
    </row>
    <row r="23" spans="1:59" ht="31.95" customHeight="1">
      <c r="A23" s="3">
        <f t="shared" si="5"/>
        <v>19</v>
      </c>
      <c r="B23" s="3">
        <v>1700</v>
      </c>
      <c r="C23" s="3" t="s">
        <v>1342</v>
      </c>
      <c r="D23" s="4">
        <v>56971</v>
      </c>
      <c r="E23" s="4">
        <v>56971</v>
      </c>
      <c r="F23" s="4">
        <f t="shared" si="0"/>
        <v>0</v>
      </c>
      <c r="G23" s="4">
        <v>56971</v>
      </c>
      <c r="H23" s="4">
        <v>56971</v>
      </c>
      <c r="I23" s="4">
        <v>0</v>
      </c>
      <c r="J23" s="4">
        <v>0</v>
      </c>
      <c r="K23" s="4">
        <f>I23+J23</f>
        <v>0</v>
      </c>
      <c r="L23" s="4">
        <f>H23+K23</f>
        <v>56971</v>
      </c>
      <c r="M23" s="4">
        <f t="shared" si="1"/>
        <v>0</v>
      </c>
      <c r="N23" s="4"/>
      <c r="O23" s="4">
        <f t="shared" si="2"/>
        <v>0</v>
      </c>
      <c r="P23" s="4">
        <f t="shared" si="3"/>
        <v>0</v>
      </c>
      <c r="Q23" s="4"/>
      <c r="R23" s="4"/>
      <c r="S23" s="4">
        <f t="shared" si="4"/>
        <v>0</v>
      </c>
      <c r="T23" s="4">
        <v>0</v>
      </c>
      <c r="U23" s="4">
        <v>0</v>
      </c>
      <c r="V23" s="4"/>
      <c r="W23" s="154">
        <v>56971</v>
      </c>
      <c r="X23" s="4"/>
      <c r="Y23" s="4"/>
      <c r="Z23" s="4"/>
      <c r="AA23" s="4">
        <v>-56971</v>
      </c>
      <c r="AB23" s="3" t="s">
        <v>999</v>
      </c>
      <c r="AC23" s="3">
        <v>747000</v>
      </c>
      <c r="AD23" s="380"/>
      <c r="AE23" s="4"/>
      <c r="AF23" s="4"/>
      <c r="AG23" s="390"/>
      <c r="AH23" s="4"/>
      <c r="AI23" s="4"/>
      <c r="AJ23" s="4"/>
      <c r="AK23" s="4"/>
      <c r="AL23" s="435"/>
      <c r="AM23" s="4">
        <v>0</v>
      </c>
      <c r="AN23" s="4">
        <v>0</v>
      </c>
      <c r="AO23" s="4"/>
      <c r="AP23" s="4">
        <v>56971</v>
      </c>
      <c r="AQ23" s="4"/>
      <c r="AR23" s="4"/>
      <c r="AS23" s="4"/>
      <c r="AT23" s="4">
        <v>-56971</v>
      </c>
      <c r="AU23" s="4"/>
      <c r="AV23" s="4">
        <f t="shared" si="6"/>
        <v>0</v>
      </c>
      <c r="AW23" s="4"/>
      <c r="AX23" s="4"/>
      <c r="AY23" s="4"/>
      <c r="AZ23" s="4"/>
    </row>
    <row r="24" spans="1:59" ht="31.95" customHeight="1">
      <c r="A24" s="3">
        <f t="shared" si="5"/>
        <v>20</v>
      </c>
      <c r="B24" s="3">
        <v>1770</v>
      </c>
      <c r="C24" s="3" t="s">
        <v>1219</v>
      </c>
      <c r="D24" s="4">
        <v>29752105</v>
      </c>
      <c r="E24" s="4">
        <v>29752105</v>
      </c>
      <c r="F24" s="4">
        <f t="shared" si="0"/>
        <v>0</v>
      </c>
      <c r="G24" s="4">
        <v>29752105</v>
      </c>
      <c r="H24" s="4">
        <v>29733213</v>
      </c>
      <c r="I24" s="4">
        <v>0</v>
      </c>
      <c r="J24" s="4">
        <v>11609</v>
      </c>
      <c r="K24" s="4">
        <f>SUM(I24:J24)</f>
        <v>11609</v>
      </c>
      <c r="L24" s="4">
        <f>K24+H24</f>
        <v>29744822</v>
      </c>
      <c r="M24" s="4">
        <f t="shared" si="1"/>
        <v>7283</v>
      </c>
      <c r="N24" s="4"/>
      <c r="O24" s="4">
        <f t="shared" si="2"/>
        <v>0</v>
      </c>
      <c r="P24" s="4">
        <f t="shared" si="3"/>
        <v>7283</v>
      </c>
      <c r="Q24" s="4"/>
      <c r="R24" s="4"/>
      <c r="S24" s="4">
        <f t="shared" si="4"/>
        <v>0</v>
      </c>
      <c r="T24" s="4">
        <v>0</v>
      </c>
      <c r="U24" s="4">
        <v>0</v>
      </c>
      <c r="V24" s="4">
        <v>934574</v>
      </c>
      <c r="W24" s="4">
        <v>775293</v>
      </c>
      <c r="X24" s="4"/>
      <c r="Y24" s="4"/>
      <c r="Z24" s="4"/>
      <c r="AA24" s="4">
        <v>-1709867</v>
      </c>
      <c r="AB24" s="3" t="s">
        <v>1000</v>
      </c>
      <c r="AC24" s="3">
        <v>810000</v>
      </c>
      <c r="AD24" s="380"/>
      <c r="AE24" s="4"/>
      <c r="AF24" s="4"/>
      <c r="AG24" s="4"/>
      <c r="AH24" s="4"/>
      <c r="AI24" s="4"/>
      <c r="AJ24" s="4"/>
      <c r="AK24" s="4"/>
      <c r="AL24" s="490"/>
      <c r="AM24" s="4">
        <v>0</v>
      </c>
      <c r="AN24" s="4">
        <v>0</v>
      </c>
      <c r="AO24" s="4">
        <v>934574</v>
      </c>
      <c r="AP24" s="4">
        <v>775293</v>
      </c>
      <c r="AQ24" s="4"/>
      <c r="AR24" s="4"/>
      <c r="AS24" s="4"/>
      <c r="AT24" s="4">
        <v>-1709867</v>
      </c>
      <c r="AU24" s="4">
        <v>934574</v>
      </c>
      <c r="AV24" s="4">
        <f t="shared" si="6"/>
        <v>775293</v>
      </c>
      <c r="AW24" s="4"/>
      <c r="AX24" s="4"/>
      <c r="AY24" s="4"/>
      <c r="AZ24" s="4">
        <v>-1709867</v>
      </c>
    </row>
    <row r="25" spans="1:59" s="382" customFormat="1" ht="31.95" customHeight="1">
      <c r="A25" s="3">
        <f t="shared" si="5"/>
        <v>21</v>
      </c>
      <c r="B25" s="3">
        <v>1794</v>
      </c>
      <c r="C25" s="3" t="s">
        <v>1001</v>
      </c>
      <c r="D25" s="4">
        <v>970000</v>
      </c>
      <c r="E25" s="4">
        <v>970000</v>
      </c>
      <c r="F25" s="4">
        <f t="shared" si="0"/>
        <v>0</v>
      </c>
      <c r="G25" s="4">
        <v>970000</v>
      </c>
      <c r="H25" s="4">
        <v>949009</v>
      </c>
      <c r="I25" s="4">
        <v>20093</v>
      </c>
      <c r="J25" s="4">
        <v>0</v>
      </c>
      <c r="K25" s="4">
        <f>SUM(I25:J25)</f>
        <v>20093</v>
      </c>
      <c r="L25" s="4">
        <f>K25+H25</f>
        <v>969102</v>
      </c>
      <c r="M25" s="4">
        <f t="shared" si="1"/>
        <v>898</v>
      </c>
      <c r="N25" s="4"/>
      <c r="O25" s="4">
        <f t="shared" si="2"/>
        <v>0</v>
      </c>
      <c r="P25" s="4">
        <f t="shared" si="3"/>
        <v>898</v>
      </c>
      <c r="Q25" s="4"/>
      <c r="R25" s="4"/>
      <c r="S25" s="4">
        <f t="shared" si="4"/>
        <v>0</v>
      </c>
      <c r="T25" s="4">
        <v>0</v>
      </c>
      <c r="U25" s="4">
        <v>0</v>
      </c>
      <c r="V25" s="4"/>
      <c r="W25" s="4">
        <v>0</v>
      </c>
      <c r="X25" s="4"/>
      <c r="Y25" s="4"/>
      <c r="Z25" s="4"/>
      <c r="AA25" s="3"/>
      <c r="AB25" s="3" t="s">
        <v>626</v>
      </c>
      <c r="AC25" s="3">
        <v>850000</v>
      </c>
      <c r="AD25" s="380"/>
      <c r="AE25" s="4"/>
      <c r="AF25" s="4"/>
      <c r="AG25" s="4"/>
      <c r="AH25" s="4"/>
      <c r="AI25" s="4"/>
      <c r="AJ25" s="4"/>
      <c r="AK25" s="4"/>
      <c r="AL25" s="435"/>
      <c r="AM25" s="4">
        <v>0</v>
      </c>
      <c r="AN25" s="4">
        <v>0</v>
      </c>
      <c r="AO25" s="4"/>
      <c r="AP25" s="4">
        <v>0</v>
      </c>
      <c r="AQ25" s="4"/>
      <c r="AR25" s="4"/>
      <c r="AS25" s="4"/>
      <c r="AT25" s="4"/>
      <c r="AU25" s="4"/>
      <c r="AV25" s="4">
        <f t="shared" si="6"/>
        <v>0</v>
      </c>
      <c r="AW25" s="4"/>
      <c r="AX25" s="4"/>
      <c r="AY25" s="4"/>
      <c r="AZ25" s="4"/>
      <c r="BA25" s="372"/>
      <c r="BB25" s="372"/>
      <c r="BC25" s="372"/>
      <c r="BD25" s="372"/>
      <c r="BE25" s="372"/>
      <c r="BF25" s="372"/>
      <c r="BG25" s="372"/>
    </row>
    <row r="26" spans="1:59" ht="31.95" customHeight="1">
      <c r="A26" s="3">
        <f t="shared" si="5"/>
        <v>22</v>
      </c>
      <c r="B26" s="3">
        <v>1817</v>
      </c>
      <c r="C26" s="3" t="s">
        <v>101</v>
      </c>
      <c r="D26" s="4">
        <v>872000</v>
      </c>
      <c r="E26" s="4">
        <v>872000</v>
      </c>
      <c r="F26" s="4">
        <f t="shared" si="0"/>
        <v>0</v>
      </c>
      <c r="G26" s="4">
        <v>790000</v>
      </c>
      <c r="H26" s="4">
        <v>658591</v>
      </c>
      <c r="I26" s="4">
        <v>0</v>
      </c>
      <c r="J26" s="4">
        <v>15719</v>
      </c>
      <c r="K26" s="4">
        <f>I26+J26</f>
        <v>15719</v>
      </c>
      <c r="L26" s="4">
        <f>H26+K26</f>
        <v>674310</v>
      </c>
      <c r="M26" s="4">
        <f t="shared" si="1"/>
        <v>115690</v>
      </c>
      <c r="N26" s="4">
        <v>82000</v>
      </c>
      <c r="O26" s="4">
        <f t="shared" si="2"/>
        <v>0</v>
      </c>
      <c r="P26" s="4">
        <f t="shared" si="3"/>
        <v>115690</v>
      </c>
      <c r="Q26" s="4"/>
      <c r="R26" s="4"/>
      <c r="S26" s="4">
        <f t="shared" si="4"/>
        <v>0</v>
      </c>
      <c r="T26" s="4">
        <v>0</v>
      </c>
      <c r="U26" s="4">
        <v>82000</v>
      </c>
      <c r="V26" s="4"/>
      <c r="W26" s="154">
        <v>0</v>
      </c>
      <c r="X26" s="4"/>
      <c r="Y26" s="4"/>
      <c r="Z26" s="4"/>
      <c r="AA26" s="297">
        <v>82000</v>
      </c>
      <c r="AB26" s="3" t="s">
        <v>597</v>
      </c>
      <c r="AC26" s="3">
        <v>810000</v>
      </c>
      <c r="AD26" s="380"/>
      <c r="AE26" s="4"/>
      <c r="AF26" s="4"/>
      <c r="AG26" s="4"/>
      <c r="AH26" s="4"/>
      <c r="AI26" s="4"/>
      <c r="AJ26" s="4">
        <v>50000</v>
      </c>
      <c r="AK26" s="4"/>
      <c r="AL26" s="435"/>
      <c r="AM26" s="4">
        <v>50000</v>
      </c>
      <c r="AN26" s="4">
        <v>32000</v>
      </c>
      <c r="AO26" s="4"/>
      <c r="AP26" s="4">
        <v>0</v>
      </c>
      <c r="AQ26" s="4"/>
      <c r="AR26" s="4"/>
      <c r="AS26" s="4"/>
      <c r="AT26" s="4">
        <v>50000</v>
      </c>
      <c r="AU26" s="4"/>
      <c r="AV26" s="4">
        <f t="shared" si="6"/>
        <v>0</v>
      </c>
      <c r="AW26" s="4"/>
      <c r="AX26" s="4"/>
      <c r="AY26" s="4"/>
      <c r="AZ26" s="4"/>
    </row>
    <row r="27" spans="1:59" ht="31.95" customHeight="1">
      <c r="A27" s="3">
        <f t="shared" si="5"/>
        <v>23</v>
      </c>
      <c r="B27" s="3">
        <v>1831</v>
      </c>
      <c r="C27" s="3" t="s">
        <v>1231</v>
      </c>
      <c r="D27" s="4">
        <f>146059-108034</f>
        <v>38025</v>
      </c>
      <c r="E27" s="4">
        <v>146059</v>
      </c>
      <c r="F27" s="4">
        <f t="shared" si="0"/>
        <v>-108034</v>
      </c>
      <c r="G27" s="4">
        <v>146059</v>
      </c>
      <c r="H27" s="4">
        <v>38025</v>
      </c>
      <c r="I27" s="4">
        <v>0</v>
      </c>
      <c r="J27" s="4">
        <v>0</v>
      </c>
      <c r="K27" s="4">
        <f>I27+J27</f>
        <v>0</v>
      </c>
      <c r="L27" s="4">
        <f>H27+K27</f>
        <v>38025</v>
      </c>
      <c r="M27" s="4">
        <f>P27+S27-108034</f>
        <v>0</v>
      </c>
      <c r="N27" s="4"/>
      <c r="O27" s="4">
        <f t="shared" si="2"/>
        <v>0</v>
      </c>
      <c r="P27" s="4">
        <f t="shared" si="3"/>
        <v>108034</v>
      </c>
      <c r="Q27" s="4"/>
      <c r="R27" s="4"/>
      <c r="S27" s="4">
        <f t="shared" si="4"/>
        <v>0</v>
      </c>
      <c r="T27" s="4">
        <v>108034</v>
      </c>
      <c r="U27" s="4">
        <v>-108034</v>
      </c>
      <c r="V27" s="4"/>
      <c r="W27" s="154">
        <v>0</v>
      </c>
      <c r="X27" s="4"/>
      <c r="Y27" s="4"/>
      <c r="Z27" s="4"/>
      <c r="AA27" s="4">
        <v>-108034</v>
      </c>
      <c r="AB27" s="59" t="s">
        <v>521</v>
      </c>
      <c r="AC27" s="3">
        <v>870000</v>
      </c>
      <c r="AD27" s="380"/>
      <c r="AE27" s="4"/>
      <c r="AF27" s="4"/>
      <c r="AG27" s="4"/>
      <c r="AH27" s="4"/>
      <c r="AI27" s="4"/>
      <c r="AJ27" s="4"/>
      <c r="AK27" s="4"/>
      <c r="AL27" s="435">
        <v>-108034</v>
      </c>
      <c r="AM27" s="4">
        <v>-108034</v>
      </c>
      <c r="AN27" s="4">
        <v>0</v>
      </c>
      <c r="AO27" s="4"/>
      <c r="AP27" s="4">
        <v>0</v>
      </c>
      <c r="AQ27" s="4"/>
      <c r="AR27" s="4"/>
      <c r="AS27" s="4"/>
      <c r="AT27" s="4">
        <v>-108034</v>
      </c>
      <c r="AU27" s="4"/>
      <c r="AV27" s="4">
        <f t="shared" si="6"/>
        <v>0</v>
      </c>
      <c r="AW27" s="4"/>
      <c r="AX27" s="4"/>
      <c r="AY27" s="4"/>
      <c r="AZ27" s="4">
        <v>-108034</v>
      </c>
    </row>
    <row r="28" spans="1:59" ht="31.95" customHeight="1">
      <c r="A28" s="3">
        <f t="shared" si="5"/>
        <v>24</v>
      </c>
      <c r="B28" s="3">
        <v>1848</v>
      </c>
      <c r="C28" s="3" t="s">
        <v>1002</v>
      </c>
      <c r="D28" s="4">
        <f>1800000-200000</f>
        <v>1600000</v>
      </c>
      <c r="E28" s="4">
        <v>1300000</v>
      </c>
      <c r="F28" s="4">
        <f t="shared" si="0"/>
        <v>300000</v>
      </c>
      <c r="G28" s="4">
        <v>1250000</v>
      </c>
      <c r="H28" s="4">
        <v>1009266</v>
      </c>
      <c r="I28" s="4">
        <v>0</v>
      </c>
      <c r="J28" s="4">
        <v>145190</v>
      </c>
      <c r="K28" s="4">
        <f>SUM(I28:J28)</f>
        <v>145190</v>
      </c>
      <c r="L28" s="4">
        <f>K28+H28</f>
        <v>1154456</v>
      </c>
      <c r="M28" s="4">
        <f t="shared" ref="M28:M91" si="7">P28+S28</f>
        <v>145544</v>
      </c>
      <c r="N28" s="4">
        <f>500000-200000</f>
        <v>300000</v>
      </c>
      <c r="O28" s="4">
        <f t="shared" si="2"/>
        <v>0</v>
      </c>
      <c r="P28" s="4">
        <f t="shared" si="3"/>
        <v>95544</v>
      </c>
      <c r="Q28" s="4">
        <v>50000</v>
      </c>
      <c r="R28" s="4"/>
      <c r="S28" s="4">
        <f t="shared" si="4"/>
        <v>50000</v>
      </c>
      <c r="T28" s="4">
        <v>0</v>
      </c>
      <c r="U28" s="4">
        <v>300000</v>
      </c>
      <c r="V28" s="4"/>
      <c r="W28" s="4">
        <v>300000</v>
      </c>
      <c r="X28" s="4"/>
      <c r="Y28" s="4"/>
      <c r="Z28" s="4"/>
      <c r="AA28" s="3"/>
      <c r="AB28" s="3" t="s">
        <v>705</v>
      </c>
      <c r="AC28" s="3">
        <v>742000</v>
      </c>
      <c r="AD28" s="380"/>
      <c r="AE28" s="4">
        <v>100000</v>
      </c>
      <c r="AF28" s="4"/>
      <c r="AG28" s="4">
        <v>50000</v>
      </c>
      <c r="AH28" s="4"/>
      <c r="AI28" s="4"/>
      <c r="AJ28" s="4"/>
      <c r="AK28" s="4"/>
      <c r="AL28" s="435">
        <v>150000</v>
      </c>
      <c r="AM28" s="4">
        <v>300000</v>
      </c>
      <c r="AN28" s="435">
        <v>0</v>
      </c>
      <c r="AO28" s="4"/>
      <c r="AP28" s="4">
        <v>300000</v>
      </c>
      <c r="AQ28" s="4"/>
      <c r="AR28" s="4"/>
      <c r="AS28" s="4"/>
      <c r="AT28" s="4"/>
      <c r="AU28" s="4"/>
      <c r="AV28" s="4">
        <f t="shared" si="6"/>
        <v>150000</v>
      </c>
      <c r="AW28" s="4"/>
      <c r="AX28" s="4"/>
      <c r="AY28" s="4"/>
      <c r="AZ28" s="4"/>
    </row>
    <row r="29" spans="1:59" ht="31.95" customHeight="1">
      <c r="A29" s="3">
        <f t="shared" si="5"/>
        <v>25</v>
      </c>
      <c r="B29" s="3">
        <v>1849</v>
      </c>
      <c r="C29" s="3" t="s">
        <v>1003</v>
      </c>
      <c r="D29" s="4">
        <f>2150000-1050000</f>
        <v>1100000</v>
      </c>
      <c r="E29" s="4">
        <v>2150000</v>
      </c>
      <c r="F29" s="4">
        <f t="shared" si="0"/>
        <v>-1050000</v>
      </c>
      <c r="G29" s="4">
        <v>1100000</v>
      </c>
      <c r="H29" s="4">
        <v>1094513</v>
      </c>
      <c r="I29" s="4">
        <v>0</v>
      </c>
      <c r="J29" s="4">
        <v>2040</v>
      </c>
      <c r="K29" s="4">
        <f>SUM(I29:J29)</f>
        <v>2040</v>
      </c>
      <c r="L29" s="4">
        <f>K29+H29</f>
        <v>1096553</v>
      </c>
      <c r="M29" s="4">
        <f t="shared" si="7"/>
        <v>3447</v>
      </c>
      <c r="N29" s="4"/>
      <c r="O29" s="4">
        <f t="shared" si="2"/>
        <v>0</v>
      </c>
      <c r="P29" s="4">
        <f t="shared" si="3"/>
        <v>3447</v>
      </c>
      <c r="Q29" s="4"/>
      <c r="R29" s="4"/>
      <c r="S29" s="4">
        <f t="shared" si="4"/>
        <v>0</v>
      </c>
      <c r="T29" s="4">
        <v>0</v>
      </c>
      <c r="U29" s="4">
        <v>0</v>
      </c>
      <c r="V29" s="4"/>
      <c r="W29" s="4">
        <v>0</v>
      </c>
      <c r="X29" s="4"/>
      <c r="Y29" s="4"/>
      <c r="Z29" s="4"/>
      <c r="AA29" s="3"/>
      <c r="AB29" s="3" t="s">
        <v>1004</v>
      </c>
      <c r="AC29" s="3">
        <v>743000</v>
      </c>
      <c r="AD29" s="380"/>
      <c r="AE29" s="4"/>
      <c r="AF29" s="4"/>
      <c r="AG29" s="4"/>
      <c r="AH29" s="4"/>
      <c r="AI29" s="4"/>
      <c r="AJ29" s="4"/>
      <c r="AK29" s="4"/>
      <c r="AL29" s="435"/>
      <c r="AM29" s="4">
        <v>0</v>
      </c>
      <c r="AN29" s="4">
        <v>0</v>
      </c>
      <c r="AO29" s="4"/>
      <c r="AP29" s="4">
        <v>0</v>
      </c>
      <c r="AQ29" s="4"/>
      <c r="AR29" s="4"/>
      <c r="AS29" s="4"/>
      <c r="AT29" s="4"/>
      <c r="AU29" s="4"/>
      <c r="AV29" s="4">
        <f t="shared" si="6"/>
        <v>0</v>
      </c>
      <c r="AW29" s="4"/>
      <c r="AX29" s="4"/>
      <c r="AY29" s="4"/>
      <c r="AZ29" s="4"/>
    </row>
    <row r="30" spans="1:59" ht="31.95" customHeight="1">
      <c r="A30" s="3">
        <f t="shared" si="5"/>
        <v>26</v>
      </c>
      <c r="B30" s="3">
        <v>1850</v>
      </c>
      <c r="C30" s="3" t="s">
        <v>451</v>
      </c>
      <c r="D30" s="4">
        <v>14600000</v>
      </c>
      <c r="E30" s="4">
        <v>14600000</v>
      </c>
      <c r="F30" s="4">
        <f t="shared" si="0"/>
        <v>0</v>
      </c>
      <c r="G30" s="4">
        <v>5250000</v>
      </c>
      <c r="H30" s="4">
        <v>4906484</v>
      </c>
      <c r="I30" s="4">
        <v>0</v>
      </c>
      <c r="J30" s="4">
        <v>342952</v>
      </c>
      <c r="K30" s="4">
        <f>SUM(I30:J30)</f>
        <v>342952</v>
      </c>
      <c r="L30" s="4">
        <f>K30+H30</f>
        <v>5249436</v>
      </c>
      <c r="M30" s="4">
        <f t="shared" si="7"/>
        <v>564</v>
      </c>
      <c r="N30" s="4">
        <v>500000</v>
      </c>
      <c r="O30" s="4">
        <f t="shared" si="2"/>
        <v>8850000</v>
      </c>
      <c r="P30" s="4">
        <f t="shared" si="3"/>
        <v>564</v>
      </c>
      <c r="Q30" s="4"/>
      <c r="R30" s="4"/>
      <c r="S30" s="4">
        <f t="shared" si="4"/>
        <v>0</v>
      </c>
      <c r="T30" s="4">
        <v>0</v>
      </c>
      <c r="U30" s="4">
        <v>500000</v>
      </c>
      <c r="V30" s="4"/>
      <c r="W30" s="4">
        <v>500000</v>
      </c>
      <c r="X30" s="4"/>
      <c r="Y30" s="4"/>
      <c r="Z30" s="4"/>
      <c r="AA30" s="3"/>
      <c r="AB30" s="3" t="s">
        <v>452</v>
      </c>
      <c r="AC30" s="3">
        <v>810000</v>
      </c>
      <c r="AD30" s="380"/>
      <c r="AE30" s="4">
        <v>100000</v>
      </c>
      <c r="AF30" s="4"/>
      <c r="AG30" s="4">
        <v>400000</v>
      </c>
      <c r="AH30" s="4"/>
      <c r="AI30" s="4"/>
      <c r="AJ30" s="4"/>
      <c r="AK30" s="4"/>
      <c r="AL30" s="435"/>
      <c r="AM30" s="4">
        <v>500000</v>
      </c>
      <c r="AN30" s="4">
        <v>0</v>
      </c>
      <c r="AO30" s="4"/>
      <c r="AP30" s="4">
        <v>500000</v>
      </c>
      <c r="AQ30" s="4"/>
      <c r="AR30" s="4"/>
      <c r="AS30" s="4"/>
      <c r="AT30" s="4"/>
      <c r="AU30" s="4"/>
      <c r="AV30" s="4">
        <f t="shared" si="6"/>
        <v>0</v>
      </c>
      <c r="AW30" s="4"/>
      <c r="AX30" s="4"/>
      <c r="AY30" s="4"/>
      <c r="AZ30" s="4"/>
    </row>
    <row r="31" spans="1:59" ht="31.95" customHeight="1">
      <c r="A31" s="3">
        <f t="shared" si="5"/>
        <v>27</v>
      </c>
      <c r="B31" s="3">
        <v>1866</v>
      </c>
      <c r="C31" s="3" t="s">
        <v>1232</v>
      </c>
      <c r="D31" s="4">
        <f>205000+250000-250000</f>
        <v>205000</v>
      </c>
      <c r="E31" s="4">
        <v>205000</v>
      </c>
      <c r="F31" s="4">
        <f t="shared" si="0"/>
        <v>0</v>
      </c>
      <c r="G31" s="4">
        <v>205000</v>
      </c>
      <c r="H31" s="4">
        <v>201952</v>
      </c>
      <c r="I31" s="4">
        <v>0</v>
      </c>
      <c r="J31" s="4">
        <v>0</v>
      </c>
      <c r="K31" s="4">
        <f>I31+J31</f>
        <v>0</v>
      </c>
      <c r="L31" s="4">
        <f>H31+K31</f>
        <v>201952</v>
      </c>
      <c r="M31" s="4">
        <f t="shared" si="7"/>
        <v>3048</v>
      </c>
      <c r="N31" s="4">
        <f>250000-250000</f>
        <v>0</v>
      </c>
      <c r="O31" s="4">
        <f t="shared" si="2"/>
        <v>0</v>
      </c>
      <c r="P31" s="4">
        <f t="shared" si="3"/>
        <v>3048</v>
      </c>
      <c r="Q31" s="4"/>
      <c r="R31" s="4"/>
      <c r="S31" s="4">
        <f t="shared" si="4"/>
        <v>0</v>
      </c>
      <c r="T31" s="4">
        <v>0</v>
      </c>
      <c r="U31" s="4">
        <v>0</v>
      </c>
      <c r="V31" s="4"/>
      <c r="W31" s="154">
        <v>0</v>
      </c>
      <c r="X31" s="4"/>
      <c r="Y31" s="4"/>
      <c r="Z31" s="4"/>
      <c r="AA31" s="4"/>
      <c r="AB31" s="59" t="s">
        <v>1510</v>
      </c>
      <c r="AC31" s="3">
        <v>870000</v>
      </c>
      <c r="AD31" s="380"/>
      <c r="AE31" s="380"/>
      <c r="AF31" s="4"/>
      <c r="AG31" s="4"/>
      <c r="AH31" s="4"/>
      <c r="AI31" s="4"/>
      <c r="AJ31" s="4"/>
      <c r="AK31" s="4"/>
      <c r="AL31" s="435"/>
      <c r="AM31" s="4">
        <v>0</v>
      </c>
      <c r="AN31" s="4">
        <v>0</v>
      </c>
      <c r="AO31" s="4"/>
      <c r="AP31" s="4">
        <v>0</v>
      </c>
      <c r="AQ31" s="4"/>
      <c r="AR31" s="4"/>
      <c r="AS31" s="4"/>
      <c r="AT31" s="4"/>
      <c r="AU31" s="4"/>
      <c r="AV31" s="4">
        <f t="shared" si="6"/>
        <v>0</v>
      </c>
      <c r="AW31" s="4"/>
      <c r="AX31" s="4"/>
      <c r="AY31" s="4"/>
      <c r="AZ31" s="4"/>
    </row>
    <row r="32" spans="1:59" ht="31.95" customHeight="1">
      <c r="A32" s="3">
        <f t="shared" si="5"/>
        <v>28</v>
      </c>
      <c r="B32" s="3">
        <v>1883</v>
      </c>
      <c r="C32" s="3" t="s">
        <v>112</v>
      </c>
      <c r="D32" s="4">
        <v>27245000</v>
      </c>
      <c r="E32" s="4">
        <v>27245000</v>
      </c>
      <c r="F32" s="4">
        <f t="shared" si="0"/>
        <v>0</v>
      </c>
      <c r="G32" s="4">
        <v>26215000</v>
      </c>
      <c r="H32" s="4">
        <v>26214141</v>
      </c>
      <c r="I32" s="4">
        <v>0</v>
      </c>
      <c r="J32" s="4">
        <v>0</v>
      </c>
      <c r="K32" s="4">
        <f>SUM(I32:J32)</f>
        <v>0</v>
      </c>
      <c r="L32" s="4">
        <f>K32+H32</f>
        <v>26214141</v>
      </c>
      <c r="M32" s="4">
        <f t="shared" si="7"/>
        <v>859</v>
      </c>
      <c r="N32" s="4">
        <f>1030000-1030000</f>
        <v>0</v>
      </c>
      <c r="O32" s="4">
        <f t="shared" si="2"/>
        <v>1030000</v>
      </c>
      <c r="P32" s="4">
        <f t="shared" si="3"/>
        <v>859</v>
      </c>
      <c r="Q32" s="4"/>
      <c r="R32" s="4"/>
      <c r="S32" s="4">
        <f t="shared" si="4"/>
        <v>0</v>
      </c>
      <c r="T32" s="4">
        <v>0</v>
      </c>
      <c r="U32" s="4">
        <v>0</v>
      </c>
      <c r="V32" s="4"/>
      <c r="W32" s="4">
        <v>0</v>
      </c>
      <c r="X32" s="4"/>
      <c r="Y32" s="4"/>
      <c r="Z32" s="4"/>
      <c r="AA32" s="3"/>
      <c r="AB32" s="3" t="s">
        <v>504</v>
      </c>
      <c r="AC32" s="3">
        <v>810000</v>
      </c>
      <c r="AD32" s="380"/>
      <c r="AE32" s="380"/>
      <c r="AF32" s="4"/>
      <c r="AG32" s="4"/>
      <c r="AH32" s="4"/>
      <c r="AI32" s="4"/>
      <c r="AJ32" s="4"/>
      <c r="AK32" s="4"/>
      <c r="AL32" s="435"/>
      <c r="AM32" s="4">
        <v>0</v>
      </c>
      <c r="AN32" s="4">
        <v>0</v>
      </c>
      <c r="AO32" s="4"/>
      <c r="AP32" s="4">
        <v>0</v>
      </c>
      <c r="AQ32" s="4"/>
      <c r="AR32" s="4"/>
      <c r="AS32" s="4"/>
      <c r="AT32" s="4"/>
      <c r="AU32" s="4"/>
      <c r="AV32" s="4">
        <f t="shared" si="6"/>
        <v>0</v>
      </c>
      <c r="AW32" s="4"/>
      <c r="AX32" s="4"/>
      <c r="AY32" s="4"/>
      <c r="AZ32" s="4"/>
    </row>
    <row r="33" spans="1:53" ht="31.95" customHeight="1">
      <c r="A33" s="3">
        <f t="shared" si="5"/>
        <v>29</v>
      </c>
      <c r="B33" s="3">
        <v>1887</v>
      </c>
      <c r="C33" s="3" t="s">
        <v>113</v>
      </c>
      <c r="D33" s="4">
        <v>5200000</v>
      </c>
      <c r="E33" s="4">
        <v>5200000</v>
      </c>
      <c r="F33" s="4">
        <f t="shared" si="0"/>
        <v>0</v>
      </c>
      <c r="G33" s="4">
        <v>1760000</v>
      </c>
      <c r="H33" s="4">
        <v>1377669</v>
      </c>
      <c r="I33" s="4">
        <v>332775</v>
      </c>
      <c r="J33" s="4">
        <v>0</v>
      </c>
      <c r="K33" s="4">
        <f>SUM(I33:J33)</f>
        <v>332775</v>
      </c>
      <c r="L33" s="4">
        <f>K33+H33</f>
        <v>1710444</v>
      </c>
      <c r="M33" s="4">
        <f t="shared" si="7"/>
        <v>49556</v>
      </c>
      <c r="N33" s="4">
        <f>1500000-300000-400000-800000</f>
        <v>0</v>
      </c>
      <c r="O33" s="4">
        <f t="shared" si="2"/>
        <v>3440000</v>
      </c>
      <c r="P33" s="4">
        <f t="shared" si="3"/>
        <v>49556</v>
      </c>
      <c r="Q33" s="4"/>
      <c r="R33" s="4"/>
      <c r="S33" s="4">
        <f t="shared" si="4"/>
        <v>0</v>
      </c>
      <c r="T33" s="4">
        <v>0</v>
      </c>
      <c r="U33" s="4">
        <v>0</v>
      </c>
      <c r="V33" s="4"/>
      <c r="W33" s="4">
        <v>0</v>
      </c>
      <c r="X33" s="4"/>
      <c r="Y33" s="4"/>
      <c r="Z33" s="4"/>
      <c r="AA33" s="3"/>
      <c r="AB33" s="3" t="s">
        <v>581</v>
      </c>
      <c r="AC33" s="3">
        <v>810000</v>
      </c>
      <c r="AD33" s="380"/>
      <c r="AE33" s="380"/>
      <c r="AF33" s="4"/>
      <c r="AG33" s="4"/>
      <c r="AH33" s="4"/>
      <c r="AI33" s="4"/>
      <c r="AJ33" s="4"/>
      <c r="AK33" s="4"/>
      <c r="AL33" s="435"/>
      <c r="AM33" s="4">
        <v>0</v>
      </c>
      <c r="AN33" s="4">
        <v>0</v>
      </c>
      <c r="AO33" s="4"/>
      <c r="AP33" s="4">
        <v>0</v>
      </c>
      <c r="AQ33" s="4"/>
      <c r="AR33" s="4"/>
      <c r="AS33" s="4"/>
      <c r="AT33" s="4"/>
      <c r="AU33" s="4"/>
      <c r="AV33" s="4">
        <f t="shared" si="6"/>
        <v>0</v>
      </c>
      <c r="AW33" s="4"/>
      <c r="AX33" s="4"/>
      <c r="AY33" s="4"/>
      <c r="AZ33" s="4"/>
    </row>
    <row r="34" spans="1:53" ht="31.95" customHeight="1">
      <c r="A34" s="3">
        <f t="shared" si="5"/>
        <v>30</v>
      </c>
      <c r="B34" s="3">
        <v>1899</v>
      </c>
      <c r="C34" s="3" t="s">
        <v>125</v>
      </c>
      <c r="D34" s="4">
        <f>1270000-600000</f>
        <v>670000</v>
      </c>
      <c r="E34" s="4">
        <v>1270000</v>
      </c>
      <c r="F34" s="4">
        <f t="shared" si="0"/>
        <v>-600000</v>
      </c>
      <c r="G34" s="4">
        <v>670000</v>
      </c>
      <c r="H34" s="4">
        <v>442405</v>
      </c>
      <c r="I34" s="4">
        <v>0</v>
      </c>
      <c r="J34" s="4">
        <v>1427</v>
      </c>
      <c r="K34" s="4">
        <f>I34+J34</f>
        <v>1427</v>
      </c>
      <c r="L34" s="4">
        <f>H34+K34</f>
        <v>443832</v>
      </c>
      <c r="M34" s="4">
        <f t="shared" si="7"/>
        <v>226168</v>
      </c>
      <c r="N34" s="4">
        <f>300000-300000</f>
        <v>0</v>
      </c>
      <c r="O34" s="4">
        <f t="shared" si="2"/>
        <v>0</v>
      </c>
      <c r="P34" s="4">
        <f t="shared" si="3"/>
        <v>226168</v>
      </c>
      <c r="Q34" s="4"/>
      <c r="R34" s="4"/>
      <c r="S34" s="4">
        <f t="shared" si="4"/>
        <v>0</v>
      </c>
      <c r="T34" s="4">
        <v>0</v>
      </c>
      <c r="U34" s="4">
        <v>0</v>
      </c>
      <c r="V34" s="4"/>
      <c r="W34" s="154">
        <v>0</v>
      </c>
      <c r="X34" s="4"/>
      <c r="Y34" s="4"/>
      <c r="Z34" s="4"/>
      <c r="AA34" s="4"/>
      <c r="AB34" s="59" t="s">
        <v>824</v>
      </c>
      <c r="AC34" s="3">
        <v>870000</v>
      </c>
      <c r="AD34" s="380"/>
      <c r="AE34" s="380"/>
      <c r="AF34" s="4"/>
      <c r="AG34" s="4"/>
      <c r="AH34" s="4"/>
      <c r="AI34" s="4"/>
      <c r="AJ34" s="4"/>
      <c r="AK34" s="4"/>
      <c r="AL34" s="435"/>
      <c r="AM34" s="4">
        <v>0</v>
      </c>
      <c r="AN34" s="4">
        <v>0</v>
      </c>
      <c r="AO34" s="4"/>
      <c r="AP34" s="4">
        <v>0</v>
      </c>
      <c r="AQ34" s="4"/>
      <c r="AR34" s="4"/>
      <c r="AS34" s="4"/>
      <c r="AT34" s="4"/>
      <c r="AU34" s="4"/>
      <c r="AV34" s="4">
        <f t="shared" si="6"/>
        <v>0</v>
      </c>
      <c r="AW34" s="4"/>
      <c r="AX34" s="4"/>
      <c r="AY34" s="4"/>
      <c r="AZ34" s="4"/>
    </row>
    <row r="35" spans="1:53" ht="31.95" customHeight="1">
      <c r="A35" s="3">
        <f t="shared" si="5"/>
        <v>31</v>
      </c>
      <c r="B35" s="3">
        <v>1900</v>
      </c>
      <c r="C35" s="3" t="s">
        <v>114</v>
      </c>
      <c r="D35" s="4">
        <v>600000</v>
      </c>
      <c r="E35" s="4">
        <v>600000</v>
      </c>
      <c r="F35" s="4">
        <f t="shared" si="0"/>
        <v>0</v>
      </c>
      <c r="G35" s="4">
        <v>600000</v>
      </c>
      <c r="H35" s="4">
        <v>522411</v>
      </c>
      <c r="I35" s="4">
        <v>0</v>
      </c>
      <c r="J35" s="4">
        <v>50504</v>
      </c>
      <c r="K35" s="4">
        <f>SUM(I35:J35)</f>
        <v>50504</v>
      </c>
      <c r="L35" s="4">
        <f>K35+H35</f>
        <v>572915</v>
      </c>
      <c r="M35" s="4">
        <f t="shared" si="7"/>
        <v>27085</v>
      </c>
      <c r="N35" s="4"/>
      <c r="O35" s="4">
        <f t="shared" si="2"/>
        <v>0</v>
      </c>
      <c r="P35" s="4">
        <f t="shared" si="3"/>
        <v>27085</v>
      </c>
      <c r="Q35" s="4"/>
      <c r="R35" s="4"/>
      <c r="S35" s="4">
        <f t="shared" si="4"/>
        <v>0</v>
      </c>
      <c r="T35" s="4">
        <v>0</v>
      </c>
      <c r="U35" s="4">
        <v>0</v>
      </c>
      <c r="V35" s="4"/>
      <c r="W35" s="4">
        <v>0</v>
      </c>
      <c r="X35" s="4"/>
      <c r="Y35" s="4"/>
      <c r="Z35" s="4"/>
      <c r="AA35" s="3"/>
      <c r="AB35" s="3" t="s">
        <v>825</v>
      </c>
      <c r="AC35" s="3">
        <v>810000</v>
      </c>
      <c r="AD35" s="380"/>
      <c r="AE35" s="380"/>
      <c r="AF35" s="4"/>
      <c r="AG35" s="4"/>
      <c r="AH35" s="4"/>
      <c r="AI35" s="4"/>
      <c r="AJ35" s="4"/>
      <c r="AK35" s="4"/>
      <c r="AL35" s="435"/>
      <c r="AM35" s="4">
        <v>0</v>
      </c>
      <c r="AN35" s="4">
        <v>0</v>
      </c>
      <c r="AO35" s="4"/>
      <c r="AP35" s="4">
        <v>0</v>
      </c>
      <c r="AQ35" s="4"/>
      <c r="AR35" s="4"/>
      <c r="AS35" s="4"/>
      <c r="AT35" s="4"/>
      <c r="AU35" s="4"/>
      <c r="AV35" s="4">
        <f t="shared" si="6"/>
        <v>0</v>
      </c>
      <c r="AW35" s="4"/>
      <c r="AX35" s="4"/>
      <c r="AY35" s="4"/>
      <c r="AZ35" s="4"/>
    </row>
    <row r="36" spans="1:53" ht="31.95" customHeight="1">
      <c r="A36" s="3">
        <f t="shared" si="5"/>
        <v>32</v>
      </c>
      <c r="B36" s="3">
        <v>1917</v>
      </c>
      <c r="C36" s="3" t="s">
        <v>115</v>
      </c>
      <c r="D36" s="4">
        <v>76800000</v>
      </c>
      <c r="E36" s="4">
        <v>76800000</v>
      </c>
      <c r="F36" s="4">
        <f t="shared" si="0"/>
        <v>0</v>
      </c>
      <c r="G36" s="4">
        <v>33701000</v>
      </c>
      <c r="H36" s="4">
        <v>26411312</v>
      </c>
      <c r="I36" s="4">
        <v>0</v>
      </c>
      <c r="J36" s="4">
        <v>7051589</v>
      </c>
      <c r="K36" s="4">
        <f>SUM(I36:J36)</f>
        <v>7051589</v>
      </c>
      <c r="L36" s="4">
        <f>K36+H36</f>
        <v>33462901</v>
      </c>
      <c r="M36" s="4">
        <f t="shared" si="7"/>
        <v>238099</v>
      </c>
      <c r="N36" s="4">
        <f>10000000-10000000</f>
        <v>0</v>
      </c>
      <c r="O36" s="4">
        <f t="shared" si="2"/>
        <v>43099000</v>
      </c>
      <c r="P36" s="4">
        <f t="shared" si="3"/>
        <v>238099</v>
      </c>
      <c r="Q36" s="4"/>
      <c r="R36" s="4"/>
      <c r="S36" s="4">
        <f t="shared" si="4"/>
        <v>0</v>
      </c>
      <c r="T36" s="4">
        <v>0</v>
      </c>
      <c r="U36" s="4">
        <v>0</v>
      </c>
      <c r="V36" s="4"/>
      <c r="W36" s="4">
        <v>0</v>
      </c>
      <c r="X36" s="4"/>
      <c r="Y36" s="4"/>
      <c r="Z36" s="4"/>
      <c r="AA36" s="3"/>
      <c r="AB36" s="3" t="s">
        <v>592</v>
      </c>
      <c r="AC36" s="3">
        <v>743000</v>
      </c>
      <c r="AD36" s="380"/>
      <c r="AE36" s="380"/>
      <c r="AF36" s="4"/>
      <c r="AG36" s="4"/>
      <c r="AH36" s="4"/>
      <c r="AI36" s="4"/>
      <c r="AJ36" s="4"/>
      <c r="AK36" s="4"/>
      <c r="AL36" s="435"/>
      <c r="AM36" s="4">
        <v>0</v>
      </c>
      <c r="AN36" s="4">
        <v>0</v>
      </c>
      <c r="AO36" s="4"/>
      <c r="AP36" s="4">
        <v>0</v>
      </c>
      <c r="AQ36" s="4"/>
      <c r="AR36" s="4"/>
      <c r="AS36" s="4"/>
      <c r="AT36" s="4"/>
      <c r="AU36" s="4"/>
      <c r="AV36" s="4">
        <f t="shared" si="6"/>
        <v>0</v>
      </c>
      <c r="AW36" s="4"/>
      <c r="AX36" s="4"/>
      <c r="AY36" s="4"/>
      <c r="AZ36" s="4"/>
    </row>
    <row r="37" spans="1:53" ht="31.95" customHeight="1">
      <c r="A37" s="3">
        <f t="shared" si="5"/>
        <v>33</v>
      </c>
      <c r="B37" s="3">
        <v>1922</v>
      </c>
      <c r="C37" s="3" t="s">
        <v>118</v>
      </c>
      <c r="D37" s="4">
        <v>330000</v>
      </c>
      <c r="E37" s="4">
        <v>330000</v>
      </c>
      <c r="F37" s="4">
        <f t="shared" si="0"/>
        <v>0</v>
      </c>
      <c r="G37" s="4">
        <v>200000</v>
      </c>
      <c r="H37" s="4">
        <v>95338</v>
      </c>
      <c r="I37" s="4">
        <v>0</v>
      </c>
      <c r="J37" s="4">
        <v>7710</v>
      </c>
      <c r="K37" s="4">
        <f>I37+J37</f>
        <v>7710</v>
      </c>
      <c r="L37" s="4">
        <f>H37+K37</f>
        <v>103048</v>
      </c>
      <c r="M37" s="4">
        <f t="shared" si="7"/>
        <v>96952</v>
      </c>
      <c r="N37" s="4">
        <v>0</v>
      </c>
      <c r="O37" s="4">
        <f t="shared" si="2"/>
        <v>130000</v>
      </c>
      <c r="P37" s="4">
        <f t="shared" si="3"/>
        <v>96952</v>
      </c>
      <c r="Q37" s="4"/>
      <c r="R37" s="4"/>
      <c r="S37" s="4">
        <f t="shared" si="4"/>
        <v>0</v>
      </c>
      <c r="T37" s="4">
        <v>0</v>
      </c>
      <c r="U37" s="4">
        <v>0</v>
      </c>
      <c r="V37" s="4"/>
      <c r="W37" s="154">
        <v>0</v>
      </c>
      <c r="X37" s="4"/>
      <c r="Y37" s="4"/>
      <c r="Z37" s="4"/>
      <c r="AA37" s="4"/>
      <c r="AB37" s="4"/>
      <c r="AC37" s="3">
        <v>870000</v>
      </c>
      <c r="AD37" s="380"/>
      <c r="AE37" s="380"/>
      <c r="AF37" s="4"/>
      <c r="AG37" s="4"/>
      <c r="AH37" s="4"/>
      <c r="AI37" s="4"/>
      <c r="AJ37" s="4"/>
      <c r="AK37" s="4"/>
      <c r="AL37" s="435"/>
      <c r="AM37" s="4">
        <v>0</v>
      </c>
      <c r="AN37" s="4">
        <v>0</v>
      </c>
      <c r="AO37" s="4"/>
      <c r="AP37" s="4">
        <v>0</v>
      </c>
      <c r="AQ37" s="4"/>
      <c r="AR37" s="4"/>
      <c r="AS37" s="4"/>
      <c r="AT37" s="4"/>
      <c r="AU37" s="4"/>
      <c r="AV37" s="4">
        <f t="shared" si="6"/>
        <v>0</v>
      </c>
      <c r="AW37" s="4"/>
      <c r="AX37" s="4"/>
      <c r="AY37" s="4"/>
      <c r="AZ37" s="4"/>
    </row>
    <row r="38" spans="1:53" ht="31.95" customHeight="1">
      <c r="A38" s="3">
        <f t="shared" si="5"/>
        <v>34</v>
      </c>
      <c r="B38" s="3">
        <v>1923</v>
      </c>
      <c r="C38" s="3" t="s">
        <v>1005</v>
      </c>
      <c r="D38" s="4">
        <v>152000</v>
      </c>
      <c r="E38" s="4">
        <v>152000</v>
      </c>
      <c r="F38" s="4">
        <f t="shared" si="0"/>
        <v>0</v>
      </c>
      <c r="G38" s="4">
        <v>152000</v>
      </c>
      <c r="H38" s="4">
        <v>138856</v>
      </c>
      <c r="I38" s="4">
        <v>13144</v>
      </c>
      <c r="J38" s="4">
        <v>0</v>
      </c>
      <c r="K38" s="4">
        <f>I38+J38</f>
        <v>13144</v>
      </c>
      <c r="L38" s="4">
        <f>H38+K38</f>
        <v>152000</v>
      </c>
      <c r="M38" s="4">
        <f t="shared" si="7"/>
        <v>0</v>
      </c>
      <c r="N38" s="4"/>
      <c r="O38" s="4">
        <f t="shared" si="2"/>
        <v>0</v>
      </c>
      <c r="P38" s="4">
        <f t="shared" si="3"/>
        <v>0</v>
      </c>
      <c r="Q38" s="4"/>
      <c r="R38" s="4"/>
      <c r="S38" s="4">
        <f t="shared" si="4"/>
        <v>0</v>
      </c>
      <c r="T38" s="4">
        <v>0</v>
      </c>
      <c r="U38" s="4">
        <v>0</v>
      </c>
      <c r="V38" s="4"/>
      <c r="W38" s="154">
        <v>0</v>
      </c>
      <c r="X38" s="4"/>
      <c r="Y38" s="4"/>
      <c r="Z38" s="4"/>
      <c r="AA38" s="4"/>
      <c r="AB38" s="3" t="s">
        <v>444</v>
      </c>
      <c r="AC38" s="3">
        <v>747000</v>
      </c>
      <c r="AD38" s="380"/>
      <c r="AE38" s="380"/>
      <c r="AF38" s="4"/>
      <c r="AG38" s="4"/>
      <c r="AH38" s="4"/>
      <c r="AI38" s="4"/>
      <c r="AJ38" s="4"/>
      <c r="AK38" s="4"/>
      <c r="AL38" s="435"/>
      <c r="AM38" s="4">
        <v>0</v>
      </c>
      <c r="AN38" s="4">
        <v>0</v>
      </c>
      <c r="AO38" s="4"/>
      <c r="AP38" s="4">
        <v>0</v>
      </c>
      <c r="AQ38" s="4"/>
      <c r="AR38" s="4"/>
      <c r="AS38" s="4"/>
      <c r="AT38" s="4"/>
      <c r="AU38" s="4"/>
      <c r="AV38" s="4">
        <f t="shared" si="6"/>
        <v>0</v>
      </c>
      <c r="AW38" s="4"/>
      <c r="AX38" s="4"/>
      <c r="AY38" s="4"/>
      <c r="AZ38" s="4"/>
    </row>
    <row r="39" spans="1:53" ht="31.95" customHeight="1">
      <c r="A39" s="3">
        <f t="shared" si="5"/>
        <v>35</v>
      </c>
      <c r="B39" s="3">
        <v>1947</v>
      </c>
      <c r="C39" s="3" t="s">
        <v>1006</v>
      </c>
      <c r="D39" s="4">
        <v>2500000</v>
      </c>
      <c r="E39" s="4">
        <v>2500000</v>
      </c>
      <c r="F39" s="4">
        <f t="shared" si="0"/>
        <v>0</v>
      </c>
      <c r="G39" s="4">
        <v>2500000</v>
      </c>
      <c r="H39" s="4">
        <v>106321</v>
      </c>
      <c r="I39" s="4">
        <v>844007</v>
      </c>
      <c r="J39" s="4">
        <v>75770</v>
      </c>
      <c r="K39" s="4">
        <f>SUM(I39:J39)</f>
        <v>919777</v>
      </c>
      <c r="L39" s="4">
        <f>K39+H39</f>
        <v>1026098</v>
      </c>
      <c r="M39" s="4">
        <f t="shared" si="7"/>
        <v>1473902</v>
      </c>
      <c r="N39" s="4"/>
      <c r="O39" s="4">
        <f t="shared" si="2"/>
        <v>0</v>
      </c>
      <c r="P39" s="4">
        <f t="shared" si="3"/>
        <v>1473902</v>
      </c>
      <c r="Q39" s="4"/>
      <c r="R39" s="4"/>
      <c r="S39" s="4">
        <f t="shared" si="4"/>
        <v>0</v>
      </c>
      <c r="T39" s="4">
        <v>0</v>
      </c>
      <c r="U39" s="4">
        <v>0</v>
      </c>
      <c r="V39" s="4"/>
      <c r="W39" s="4">
        <v>0</v>
      </c>
      <c r="X39" s="4"/>
      <c r="Y39" s="4"/>
      <c r="Z39" s="4"/>
      <c r="AA39" s="3"/>
      <c r="AB39" s="3" t="s">
        <v>1511</v>
      </c>
      <c r="AC39" s="3">
        <v>850000</v>
      </c>
      <c r="AD39" s="380"/>
      <c r="AE39" s="380"/>
      <c r="AF39" s="4"/>
      <c r="AG39" s="4"/>
      <c r="AH39" s="4"/>
      <c r="AI39" s="4"/>
      <c r="AJ39" s="4"/>
      <c r="AK39" s="4"/>
      <c r="AL39" s="435"/>
      <c r="AM39" s="4">
        <v>0</v>
      </c>
      <c r="AN39" s="4">
        <v>0</v>
      </c>
      <c r="AO39" s="4"/>
      <c r="AP39" s="4">
        <v>0</v>
      </c>
      <c r="AQ39" s="4"/>
      <c r="AR39" s="4"/>
      <c r="AS39" s="4"/>
      <c r="AT39" s="4"/>
      <c r="AU39" s="4"/>
      <c r="AV39" s="4">
        <f t="shared" si="6"/>
        <v>0</v>
      </c>
      <c r="AW39" s="4"/>
      <c r="AX39" s="4"/>
      <c r="AY39" s="4"/>
      <c r="AZ39" s="4"/>
    </row>
    <row r="40" spans="1:53" ht="31.95" customHeight="1">
      <c r="A40" s="3">
        <f t="shared" si="5"/>
        <v>36</v>
      </c>
      <c r="B40" s="3">
        <v>1966</v>
      </c>
      <c r="C40" s="3" t="s">
        <v>864</v>
      </c>
      <c r="D40" s="4">
        <v>1700000</v>
      </c>
      <c r="E40" s="4">
        <v>1700000</v>
      </c>
      <c r="F40" s="4">
        <f t="shared" si="0"/>
        <v>0</v>
      </c>
      <c r="G40" s="4">
        <v>1700000</v>
      </c>
      <c r="H40" s="4">
        <v>1500715</v>
      </c>
      <c r="I40" s="4">
        <v>199284</v>
      </c>
      <c r="J40" s="4">
        <v>0</v>
      </c>
      <c r="K40" s="4">
        <f>SUM(I40:J40)</f>
        <v>199284</v>
      </c>
      <c r="L40" s="4">
        <f>K40+H40</f>
        <v>1699999</v>
      </c>
      <c r="M40" s="4">
        <f t="shared" si="7"/>
        <v>1</v>
      </c>
      <c r="N40" s="4"/>
      <c r="O40" s="4">
        <f t="shared" si="2"/>
        <v>0</v>
      </c>
      <c r="P40" s="4">
        <f t="shared" si="3"/>
        <v>1</v>
      </c>
      <c r="Q40" s="4"/>
      <c r="R40" s="4"/>
      <c r="S40" s="4">
        <f t="shared" si="4"/>
        <v>0</v>
      </c>
      <c r="T40" s="4">
        <v>0</v>
      </c>
      <c r="U40" s="4">
        <v>0</v>
      </c>
      <c r="V40" s="4"/>
      <c r="W40" s="4">
        <v>0</v>
      </c>
      <c r="X40" s="4"/>
      <c r="Y40" s="4"/>
      <c r="Z40" s="4"/>
      <c r="AA40" s="3"/>
      <c r="AB40" s="3" t="s">
        <v>654</v>
      </c>
      <c r="AC40" s="3">
        <v>870000</v>
      </c>
      <c r="AD40" s="380"/>
      <c r="AE40" s="380"/>
      <c r="AF40" s="4"/>
      <c r="AG40" s="4"/>
      <c r="AH40" s="4"/>
      <c r="AI40" s="4"/>
      <c r="AJ40" s="4"/>
      <c r="AK40" s="4"/>
      <c r="AL40" s="435"/>
      <c r="AM40" s="4">
        <v>0</v>
      </c>
      <c r="AN40" s="4">
        <v>0</v>
      </c>
      <c r="AO40" s="4"/>
      <c r="AP40" s="4">
        <v>0</v>
      </c>
      <c r="AQ40" s="4"/>
      <c r="AR40" s="4"/>
      <c r="AS40" s="4"/>
      <c r="AT40" s="4"/>
      <c r="AU40" s="4"/>
      <c r="AV40" s="4">
        <f t="shared" si="6"/>
        <v>0</v>
      </c>
      <c r="AW40" s="4"/>
      <c r="AX40" s="4"/>
      <c r="AY40" s="4"/>
      <c r="AZ40" s="4"/>
    </row>
    <row r="41" spans="1:53" ht="31.95" customHeight="1">
      <c r="A41" s="3">
        <f t="shared" si="5"/>
        <v>37</v>
      </c>
      <c r="B41" s="3">
        <v>1967</v>
      </c>
      <c r="C41" s="3" t="s">
        <v>123</v>
      </c>
      <c r="D41" s="4">
        <v>12929000</v>
      </c>
      <c r="E41" s="4">
        <v>12929000</v>
      </c>
      <c r="F41" s="4">
        <f t="shared" si="0"/>
        <v>0</v>
      </c>
      <c r="G41" s="4">
        <v>12629000</v>
      </c>
      <c r="H41" s="4">
        <v>2502390</v>
      </c>
      <c r="I41" s="4">
        <v>42003</v>
      </c>
      <c r="J41" s="4">
        <v>8286242</v>
      </c>
      <c r="K41" s="4">
        <f>SUM(I41:J41)</f>
        <v>8328245</v>
      </c>
      <c r="L41" s="4">
        <f>K41+H41</f>
        <v>10830635</v>
      </c>
      <c r="M41" s="4">
        <f t="shared" si="7"/>
        <v>1798365</v>
      </c>
      <c r="N41" s="4">
        <v>300000</v>
      </c>
      <c r="O41" s="4">
        <f t="shared" si="2"/>
        <v>0</v>
      </c>
      <c r="P41" s="4">
        <f t="shared" si="3"/>
        <v>1798365</v>
      </c>
      <c r="Q41" s="4"/>
      <c r="R41" s="4"/>
      <c r="S41" s="4">
        <f t="shared" si="4"/>
        <v>0</v>
      </c>
      <c r="T41" s="4">
        <v>0</v>
      </c>
      <c r="U41" s="4">
        <v>300000</v>
      </c>
      <c r="V41" s="4"/>
      <c r="W41" s="4">
        <v>300000</v>
      </c>
      <c r="X41" s="4"/>
      <c r="Y41" s="4"/>
      <c r="Z41" s="4"/>
      <c r="AA41" s="3"/>
      <c r="AB41" s="3" t="s">
        <v>655</v>
      </c>
      <c r="AC41" s="3">
        <v>810000</v>
      </c>
      <c r="AD41" s="380"/>
      <c r="AE41" s="154"/>
      <c r="AF41" s="4"/>
      <c r="AG41" s="4"/>
      <c r="AH41" s="4"/>
      <c r="AI41" s="4"/>
      <c r="AJ41" s="4"/>
      <c r="AK41" s="4"/>
      <c r="AL41" s="435"/>
      <c r="AM41" s="4">
        <v>0</v>
      </c>
      <c r="AN41" s="4">
        <v>300000</v>
      </c>
      <c r="AO41" s="4"/>
      <c r="AP41" s="4">
        <v>0</v>
      </c>
      <c r="AQ41" s="4"/>
      <c r="AR41" s="4"/>
      <c r="AS41" s="4"/>
      <c r="AT41" s="4"/>
      <c r="AU41" s="4"/>
      <c r="AV41" s="4">
        <f t="shared" si="6"/>
        <v>0</v>
      </c>
      <c r="AW41" s="4"/>
      <c r="AX41" s="4"/>
      <c r="AY41" s="4"/>
      <c r="AZ41" s="4"/>
      <c r="BA41" s="489"/>
    </row>
    <row r="42" spans="1:53" ht="31.95" customHeight="1">
      <c r="A42" s="3">
        <f t="shared" si="5"/>
        <v>38</v>
      </c>
      <c r="B42" s="3">
        <v>1968</v>
      </c>
      <c r="C42" s="3" t="s">
        <v>124</v>
      </c>
      <c r="D42" s="4">
        <v>2170000</v>
      </c>
      <c r="E42" s="4">
        <v>2170000</v>
      </c>
      <c r="F42" s="4">
        <f t="shared" si="0"/>
        <v>0</v>
      </c>
      <c r="G42" s="4">
        <v>2170000</v>
      </c>
      <c r="H42" s="4">
        <v>1791791</v>
      </c>
      <c r="I42" s="4">
        <v>0</v>
      </c>
      <c r="J42" s="4">
        <v>28198</v>
      </c>
      <c r="K42" s="4">
        <f>SUM(I42:J42)</f>
        <v>28198</v>
      </c>
      <c r="L42" s="4">
        <f>K42+H42</f>
        <v>1819989</v>
      </c>
      <c r="M42" s="4">
        <f t="shared" si="7"/>
        <v>350011</v>
      </c>
      <c r="N42" s="4"/>
      <c r="O42" s="4">
        <f t="shared" si="2"/>
        <v>0</v>
      </c>
      <c r="P42" s="4">
        <f t="shared" si="3"/>
        <v>350011</v>
      </c>
      <c r="Q42" s="4"/>
      <c r="R42" s="4"/>
      <c r="S42" s="4">
        <f t="shared" si="4"/>
        <v>0</v>
      </c>
      <c r="T42" s="4">
        <v>0</v>
      </c>
      <c r="U42" s="4">
        <v>0</v>
      </c>
      <c r="V42" s="4"/>
      <c r="W42" s="4">
        <v>0</v>
      </c>
      <c r="X42" s="4"/>
      <c r="Y42" s="4"/>
      <c r="Z42" s="4"/>
      <c r="AA42" s="3"/>
      <c r="AB42" s="384" t="s">
        <v>706</v>
      </c>
      <c r="AC42" s="384">
        <v>848500</v>
      </c>
      <c r="AD42" s="380"/>
      <c r="AE42" s="154"/>
      <c r="AF42" s="4"/>
      <c r="AG42" s="4"/>
      <c r="AH42" s="4"/>
      <c r="AI42" s="4"/>
      <c r="AJ42" s="4"/>
      <c r="AK42" s="4"/>
      <c r="AL42" s="435"/>
      <c r="AM42" s="4">
        <v>0</v>
      </c>
      <c r="AN42" s="4">
        <v>0</v>
      </c>
      <c r="AO42" s="4"/>
      <c r="AP42" s="4">
        <v>0</v>
      </c>
      <c r="AQ42" s="4"/>
      <c r="AR42" s="4"/>
      <c r="AS42" s="4"/>
      <c r="AT42" s="4"/>
      <c r="AU42" s="4"/>
      <c r="AV42" s="4">
        <f t="shared" si="6"/>
        <v>0</v>
      </c>
      <c r="AW42" s="4"/>
      <c r="AX42" s="4"/>
      <c r="AY42" s="4"/>
      <c r="AZ42" s="4"/>
    </row>
    <row r="43" spans="1:53" ht="31.95" customHeight="1">
      <c r="A43" s="3">
        <f t="shared" si="5"/>
        <v>39</v>
      </c>
      <c r="B43" s="3">
        <v>1970</v>
      </c>
      <c r="C43" s="3" t="s">
        <v>130</v>
      </c>
      <c r="D43" s="4">
        <v>32500000</v>
      </c>
      <c r="E43" s="4">
        <v>32500000</v>
      </c>
      <c r="F43" s="4">
        <f t="shared" si="0"/>
        <v>0</v>
      </c>
      <c r="G43" s="4">
        <v>32500000</v>
      </c>
      <c r="H43" s="4">
        <v>31975060</v>
      </c>
      <c r="I43" s="4">
        <v>182915</v>
      </c>
      <c r="J43" s="4">
        <v>330025</v>
      </c>
      <c r="K43" s="4">
        <f>SUM(I43:J43)</f>
        <v>512940</v>
      </c>
      <c r="L43" s="4">
        <f>K43+H43</f>
        <v>32488000</v>
      </c>
      <c r="M43" s="4">
        <f t="shared" si="7"/>
        <v>12000</v>
      </c>
      <c r="N43" s="4"/>
      <c r="O43" s="4">
        <f t="shared" si="2"/>
        <v>0</v>
      </c>
      <c r="P43" s="4">
        <f t="shared" si="3"/>
        <v>12000</v>
      </c>
      <c r="Q43" s="4"/>
      <c r="R43" s="4"/>
      <c r="S43" s="4">
        <f t="shared" si="4"/>
        <v>0</v>
      </c>
      <c r="T43" s="4">
        <v>0</v>
      </c>
      <c r="U43" s="4">
        <v>0</v>
      </c>
      <c r="V43" s="4"/>
      <c r="W43" s="4">
        <v>0</v>
      </c>
      <c r="X43" s="4"/>
      <c r="Y43" s="4"/>
      <c r="Z43" s="4"/>
      <c r="AA43" s="3"/>
      <c r="AB43" s="3" t="s">
        <v>707</v>
      </c>
      <c r="AC43" s="3">
        <v>810000</v>
      </c>
      <c r="AD43" s="380"/>
      <c r="AE43" s="154"/>
      <c r="AF43" s="4"/>
      <c r="AG43" s="4"/>
      <c r="AH43" s="4"/>
      <c r="AI43" s="4"/>
      <c r="AJ43" s="4"/>
      <c r="AK43" s="4"/>
      <c r="AL43" s="435"/>
      <c r="AM43" s="4">
        <v>0</v>
      </c>
      <c r="AN43" s="4">
        <v>0</v>
      </c>
      <c r="AO43" s="4"/>
      <c r="AP43" s="4">
        <v>0</v>
      </c>
      <c r="AQ43" s="4"/>
      <c r="AR43" s="4"/>
      <c r="AS43" s="4"/>
      <c r="AT43" s="4"/>
      <c r="AU43" s="4"/>
      <c r="AV43" s="4">
        <f t="shared" si="6"/>
        <v>0</v>
      </c>
      <c r="AW43" s="4"/>
      <c r="AX43" s="4"/>
      <c r="AY43" s="4"/>
      <c r="AZ43" s="4"/>
    </row>
    <row r="44" spans="1:53" ht="31.95" customHeight="1">
      <c r="A44" s="3">
        <f t="shared" si="5"/>
        <v>40</v>
      </c>
      <c r="B44" s="3">
        <v>1973</v>
      </c>
      <c r="C44" s="3" t="s">
        <v>126</v>
      </c>
      <c r="D44" s="4">
        <v>2500000</v>
      </c>
      <c r="E44" s="4">
        <v>2500000</v>
      </c>
      <c r="F44" s="4">
        <f t="shared" si="0"/>
        <v>0</v>
      </c>
      <c r="G44" s="4">
        <v>1150000</v>
      </c>
      <c r="H44" s="4">
        <v>951066</v>
      </c>
      <c r="I44" s="4">
        <v>0</v>
      </c>
      <c r="J44" s="4">
        <v>198933</v>
      </c>
      <c r="K44" s="4">
        <f>I44+J44</f>
        <v>198933</v>
      </c>
      <c r="L44" s="4">
        <f>H44+K44</f>
        <v>1149999</v>
      </c>
      <c r="M44" s="4">
        <f t="shared" si="7"/>
        <v>1</v>
      </c>
      <c r="N44" s="4">
        <f>1000000-200000</f>
        <v>800000</v>
      </c>
      <c r="O44" s="4">
        <f t="shared" si="2"/>
        <v>550000</v>
      </c>
      <c r="P44" s="4">
        <f t="shared" si="3"/>
        <v>1</v>
      </c>
      <c r="Q44" s="4"/>
      <c r="R44" s="4"/>
      <c r="S44" s="4">
        <f t="shared" si="4"/>
        <v>0</v>
      </c>
      <c r="T44" s="4">
        <v>0</v>
      </c>
      <c r="U44" s="4">
        <v>800000</v>
      </c>
      <c r="V44" s="4"/>
      <c r="W44" s="154">
        <v>800000</v>
      </c>
      <c r="X44" s="4"/>
      <c r="Y44" s="4"/>
      <c r="Z44" s="4"/>
      <c r="AA44" s="4"/>
      <c r="AB44" s="3" t="s">
        <v>583</v>
      </c>
      <c r="AC44" s="3">
        <v>742000</v>
      </c>
      <c r="AD44" s="380"/>
      <c r="AE44" s="154">
        <v>400000</v>
      </c>
      <c r="AF44" s="4"/>
      <c r="AG44" s="4">
        <v>200000</v>
      </c>
      <c r="AH44" s="4"/>
      <c r="AI44" s="4"/>
      <c r="AJ44" s="4">
        <v>200000</v>
      </c>
      <c r="AK44" s="4"/>
      <c r="AL44" s="435"/>
      <c r="AM44" s="4">
        <v>800000</v>
      </c>
      <c r="AN44" s="4">
        <v>0</v>
      </c>
      <c r="AO44" s="4"/>
      <c r="AP44" s="4">
        <v>800000</v>
      </c>
      <c r="AQ44" s="4"/>
      <c r="AR44" s="4"/>
      <c r="AS44" s="4"/>
      <c r="AT44" s="4"/>
      <c r="AU44" s="4"/>
      <c r="AV44" s="4">
        <f t="shared" si="6"/>
        <v>0</v>
      </c>
      <c r="AW44" s="4"/>
      <c r="AX44" s="4"/>
      <c r="AY44" s="4"/>
      <c r="AZ44" s="4"/>
    </row>
    <row r="45" spans="1:53" ht="31.95" customHeight="1">
      <c r="A45" s="3">
        <f t="shared" si="5"/>
        <v>41</v>
      </c>
      <c r="B45" s="3">
        <v>1989</v>
      </c>
      <c r="C45" s="3" t="s">
        <v>1220</v>
      </c>
      <c r="D45" s="4">
        <v>1070000</v>
      </c>
      <c r="E45" s="4">
        <v>1070000</v>
      </c>
      <c r="F45" s="4">
        <f t="shared" si="0"/>
        <v>0</v>
      </c>
      <c r="G45" s="4">
        <v>570000</v>
      </c>
      <c r="H45" s="4">
        <v>542461</v>
      </c>
      <c r="I45" s="4">
        <v>0</v>
      </c>
      <c r="J45" s="4">
        <v>26086</v>
      </c>
      <c r="K45" s="4">
        <f>I45+J45</f>
        <v>26086</v>
      </c>
      <c r="L45" s="4">
        <f>H45+K45</f>
        <v>568547</v>
      </c>
      <c r="M45" s="4">
        <f t="shared" si="7"/>
        <v>1453</v>
      </c>
      <c r="N45" s="4"/>
      <c r="O45" s="4">
        <f t="shared" si="2"/>
        <v>500000</v>
      </c>
      <c r="P45" s="4">
        <f t="shared" si="3"/>
        <v>1453</v>
      </c>
      <c r="Q45" s="4"/>
      <c r="R45" s="4"/>
      <c r="S45" s="4">
        <f t="shared" si="4"/>
        <v>0</v>
      </c>
      <c r="T45" s="4">
        <v>0</v>
      </c>
      <c r="U45" s="4">
        <v>0</v>
      </c>
      <c r="V45" s="4"/>
      <c r="W45" s="154">
        <v>0</v>
      </c>
      <c r="X45" s="4"/>
      <c r="Y45" s="4"/>
      <c r="Z45" s="4"/>
      <c r="AA45" s="4"/>
      <c r="AB45" s="59" t="s">
        <v>1007</v>
      </c>
      <c r="AC45" s="3">
        <v>746000</v>
      </c>
      <c r="AD45" s="380"/>
      <c r="AE45" s="154"/>
      <c r="AF45" s="4"/>
      <c r="AG45" s="4"/>
      <c r="AH45" s="4"/>
      <c r="AI45" s="4"/>
      <c r="AJ45" s="4"/>
      <c r="AK45" s="4"/>
      <c r="AL45" s="435"/>
      <c r="AM45" s="4">
        <v>0</v>
      </c>
      <c r="AN45" s="4">
        <v>0</v>
      </c>
      <c r="AO45" s="4"/>
      <c r="AP45" s="4">
        <v>0</v>
      </c>
      <c r="AQ45" s="4"/>
      <c r="AR45" s="4"/>
      <c r="AS45" s="4"/>
      <c r="AT45" s="4"/>
      <c r="AU45" s="4"/>
      <c r="AV45" s="4">
        <f t="shared" si="6"/>
        <v>0</v>
      </c>
      <c r="AW45" s="4"/>
      <c r="AX45" s="4"/>
      <c r="AY45" s="4"/>
      <c r="AZ45" s="4"/>
    </row>
    <row r="46" spans="1:53" ht="31.95" customHeight="1">
      <c r="A46" s="3">
        <f t="shared" si="5"/>
        <v>42</v>
      </c>
      <c r="B46" s="3">
        <v>2001</v>
      </c>
      <c r="C46" s="3" t="s">
        <v>1344</v>
      </c>
      <c r="D46" s="4">
        <v>18500000</v>
      </c>
      <c r="E46" s="4">
        <v>18500000</v>
      </c>
      <c r="F46" s="4">
        <f t="shared" si="0"/>
        <v>0</v>
      </c>
      <c r="G46" s="4">
        <v>8398700</v>
      </c>
      <c r="H46" s="4">
        <v>592347</v>
      </c>
      <c r="I46" s="4">
        <v>7007029</v>
      </c>
      <c r="J46" s="4">
        <v>35009</v>
      </c>
      <c r="K46" s="4">
        <f>SUM(I46:J46)</f>
        <v>7042038</v>
      </c>
      <c r="L46" s="4">
        <f>K46+H46</f>
        <v>7634385</v>
      </c>
      <c r="M46" s="4">
        <f t="shared" si="7"/>
        <v>764315</v>
      </c>
      <c r="N46" s="4"/>
      <c r="O46" s="4">
        <f t="shared" si="2"/>
        <v>10101300</v>
      </c>
      <c r="P46" s="4">
        <f t="shared" si="3"/>
        <v>764315</v>
      </c>
      <c r="Q46" s="4"/>
      <c r="R46" s="4"/>
      <c r="S46" s="4">
        <f t="shared" si="4"/>
        <v>0</v>
      </c>
      <c r="T46" s="4">
        <v>0</v>
      </c>
      <c r="U46" s="4">
        <v>0</v>
      </c>
      <c r="V46" s="4">
        <v>0</v>
      </c>
      <c r="W46" s="4"/>
      <c r="X46" s="4"/>
      <c r="Y46" s="4"/>
      <c r="Z46" s="4"/>
      <c r="AA46" s="4"/>
      <c r="AB46" s="3" t="s">
        <v>1512</v>
      </c>
      <c r="AC46" s="3">
        <v>810000</v>
      </c>
      <c r="AD46" s="380"/>
      <c r="AE46" s="380"/>
      <c r="AF46" s="4"/>
      <c r="AG46" s="4"/>
      <c r="AH46" s="4"/>
      <c r="AI46" s="4"/>
      <c r="AJ46" s="4"/>
      <c r="AK46" s="4"/>
      <c r="AL46" s="435"/>
      <c r="AM46" s="4">
        <v>0</v>
      </c>
      <c r="AN46" s="4">
        <v>0</v>
      </c>
      <c r="AO46" s="4"/>
      <c r="AP46" s="4">
        <v>0</v>
      </c>
      <c r="AQ46" s="4"/>
      <c r="AR46" s="4"/>
      <c r="AS46" s="4"/>
      <c r="AT46" s="4"/>
      <c r="AU46" s="4"/>
      <c r="AV46" s="4">
        <f t="shared" si="6"/>
        <v>0</v>
      </c>
      <c r="AW46" s="4"/>
      <c r="AX46" s="4"/>
      <c r="AY46" s="4"/>
      <c r="AZ46" s="4"/>
    </row>
    <row r="47" spans="1:53" ht="31.95" customHeight="1">
      <c r="A47" s="3">
        <f t="shared" si="5"/>
        <v>43</v>
      </c>
      <c r="B47" s="3">
        <v>2028</v>
      </c>
      <c r="C47" s="3" t="s">
        <v>288</v>
      </c>
      <c r="D47" s="4">
        <v>2435000</v>
      </c>
      <c r="E47" s="4">
        <v>2435000</v>
      </c>
      <c r="F47" s="4">
        <f t="shared" si="0"/>
        <v>0</v>
      </c>
      <c r="G47" s="4">
        <v>2435000</v>
      </c>
      <c r="H47" s="4">
        <v>2272968</v>
      </c>
      <c r="I47" s="4">
        <v>161556</v>
      </c>
      <c r="J47" s="4">
        <v>0</v>
      </c>
      <c r="K47" s="4">
        <f>SUM(I47:J47)</f>
        <v>161556</v>
      </c>
      <c r="L47" s="4">
        <f>K47+H47</f>
        <v>2434524</v>
      </c>
      <c r="M47" s="4">
        <f t="shared" si="7"/>
        <v>476</v>
      </c>
      <c r="N47" s="4"/>
      <c r="O47" s="4">
        <f t="shared" si="2"/>
        <v>0</v>
      </c>
      <c r="P47" s="4">
        <f t="shared" si="3"/>
        <v>476</v>
      </c>
      <c r="Q47" s="4"/>
      <c r="R47" s="4"/>
      <c r="S47" s="4">
        <f t="shared" si="4"/>
        <v>0</v>
      </c>
      <c r="T47" s="4">
        <v>0</v>
      </c>
      <c r="U47" s="4">
        <v>0</v>
      </c>
      <c r="V47" s="4"/>
      <c r="W47" s="4">
        <v>0</v>
      </c>
      <c r="X47" s="4"/>
      <c r="Y47" s="4"/>
      <c r="Z47" s="4"/>
      <c r="AA47" s="3"/>
      <c r="AB47" s="3" t="s">
        <v>427</v>
      </c>
      <c r="AC47" s="3">
        <v>810000</v>
      </c>
      <c r="AD47" s="380"/>
      <c r="AE47" s="380"/>
      <c r="AF47" s="4"/>
      <c r="AG47" s="4"/>
      <c r="AH47" s="4"/>
      <c r="AI47" s="4"/>
      <c r="AJ47" s="4"/>
      <c r="AK47" s="4"/>
      <c r="AL47" s="435"/>
      <c r="AM47" s="4">
        <v>0</v>
      </c>
      <c r="AN47" s="4">
        <v>0</v>
      </c>
      <c r="AO47" s="4"/>
      <c r="AP47" s="4">
        <v>0</v>
      </c>
      <c r="AQ47" s="4"/>
      <c r="AR47" s="4"/>
      <c r="AS47" s="4"/>
      <c r="AT47" s="4"/>
      <c r="AU47" s="4"/>
      <c r="AV47" s="4">
        <f t="shared" si="6"/>
        <v>0</v>
      </c>
      <c r="AW47" s="4"/>
      <c r="AX47" s="4"/>
      <c r="AY47" s="4"/>
      <c r="AZ47" s="4"/>
    </row>
    <row r="48" spans="1:53" ht="31.95" customHeight="1">
      <c r="A48" s="3">
        <f t="shared" si="5"/>
        <v>44</v>
      </c>
      <c r="B48" s="3">
        <v>2030</v>
      </c>
      <c r="C48" s="3" t="s">
        <v>245</v>
      </c>
      <c r="D48" s="4">
        <v>31500000</v>
      </c>
      <c r="E48" s="4">
        <v>31500000</v>
      </c>
      <c r="F48" s="4">
        <f t="shared" si="0"/>
        <v>0</v>
      </c>
      <c r="G48" s="4">
        <f>12000000+2500000</f>
        <v>14500000</v>
      </c>
      <c r="H48" s="4">
        <v>4808398</v>
      </c>
      <c r="I48" s="4">
        <v>5339146</v>
      </c>
      <c r="J48" s="4">
        <v>1541335</v>
      </c>
      <c r="K48" s="4">
        <f>SUM(I48:J48)</f>
        <v>6880481</v>
      </c>
      <c r="L48" s="4">
        <f>K48+H48</f>
        <v>11688879</v>
      </c>
      <c r="M48" s="4">
        <f t="shared" si="7"/>
        <v>811121</v>
      </c>
      <c r="N48" s="4">
        <f>4250000-500000</f>
        <v>3750000</v>
      </c>
      <c r="O48" s="4">
        <f t="shared" si="2"/>
        <v>15250000</v>
      </c>
      <c r="P48" s="4">
        <f t="shared" si="3"/>
        <v>2811121</v>
      </c>
      <c r="Q48" s="4">
        <f>10000000-10000000</f>
        <v>0</v>
      </c>
      <c r="R48" s="4">
        <f>-2400000+400000</f>
        <v>-2000000</v>
      </c>
      <c r="S48" s="4">
        <f t="shared" si="4"/>
        <v>-2000000</v>
      </c>
      <c r="T48" s="4">
        <v>0</v>
      </c>
      <c r="U48" s="4">
        <v>3750000</v>
      </c>
      <c r="V48" s="4">
        <v>1750000</v>
      </c>
      <c r="W48" s="4">
        <v>0</v>
      </c>
      <c r="X48" s="4"/>
      <c r="Y48" s="4"/>
      <c r="Z48" s="4"/>
      <c r="AA48" s="4">
        <v>2000000</v>
      </c>
      <c r="AB48" s="3" t="s">
        <v>1513</v>
      </c>
      <c r="AC48" s="3">
        <v>810000</v>
      </c>
      <c r="AD48" s="380"/>
      <c r="AE48" s="4">
        <v>900000</v>
      </c>
      <c r="AF48" s="4"/>
      <c r="AG48" s="4"/>
      <c r="AH48" s="4"/>
      <c r="AI48" s="4">
        <v>2850000</v>
      </c>
      <c r="AJ48" s="4"/>
      <c r="AK48" s="4"/>
      <c r="AL48" s="435"/>
      <c r="AM48" s="4">
        <v>3750000</v>
      </c>
      <c r="AN48" s="4">
        <v>0</v>
      </c>
      <c r="AO48" s="4">
        <v>1750000</v>
      </c>
      <c r="AP48" s="4">
        <v>0</v>
      </c>
      <c r="AQ48" s="4"/>
      <c r="AR48" s="4"/>
      <c r="AS48" s="4"/>
      <c r="AT48" s="4">
        <v>2000000</v>
      </c>
      <c r="AU48" s="4"/>
      <c r="AV48" s="4">
        <f t="shared" si="6"/>
        <v>0</v>
      </c>
      <c r="AW48" s="4"/>
      <c r="AX48" s="4"/>
      <c r="AY48" s="4"/>
      <c r="AZ48" s="4"/>
    </row>
    <row r="49" spans="1:59" ht="31.95" customHeight="1">
      <c r="A49" s="3">
        <f t="shared" si="5"/>
        <v>45</v>
      </c>
      <c r="B49" s="3">
        <v>2037</v>
      </c>
      <c r="C49" s="3" t="s">
        <v>403</v>
      </c>
      <c r="D49" s="4">
        <v>5000000</v>
      </c>
      <c r="E49" s="4">
        <v>5000000</v>
      </c>
      <c r="F49" s="4">
        <f t="shared" si="0"/>
        <v>0</v>
      </c>
      <c r="G49" s="4">
        <v>800000</v>
      </c>
      <c r="H49" s="4">
        <v>549548</v>
      </c>
      <c r="I49" s="4">
        <v>0</v>
      </c>
      <c r="J49" s="4">
        <v>237729</v>
      </c>
      <c r="K49" s="4">
        <f t="shared" ref="K49:K56" si="8">I49+J49</f>
        <v>237729</v>
      </c>
      <c r="L49" s="4">
        <f t="shared" ref="L49:L56" si="9">H49+K49</f>
        <v>787277</v>
      </c>
      <c r="M49" s="4">
        <f t="shared" si="7"/>
        <v>12723</v>
      </c>
      <c r="N49" s="4">
        <f>300000+1000000-300000</f>
        <v>1000000</v>
      </c>
      <c r="O49" s="4">
        <f t="shared" si="2"/>
        <v>3200000</v>
      </c>
      <c r="P49" s="4">
        <f t="shared" si="3"/>
        <v>12723</v>
      </c>
      <c r="Q49" s="4"/>
      <c r="R49" s="4"/>
      <c r="S49" s="4">
        <f t="shared" si="4"/>
        <v>0</v>
      </c>
      <c r="T49" s="4">
        <v>0</v>
      </c>
      <c r="U49" s="4">
        <v>1000000</v>
      </c>
      <c r="V49" s="4">
        <v>500000</v>
      </c>
      <c r="W49" s="154">
        <v>500000</v>
      </c>
      <c r="X49" s="4"/>
      <c r="Y49" s="4"/>
      <c r="Z49" s="4"/>
      <c r="AA49" s="4"/>
      <c r="AB49" s="3" t="s">
        <v>826</v>
      </c>
      <c r="AC49" s="3">
        <v>870000</v>
      </c>
      <c r="AD49" s="380"/>
      <c r="AE49" s="154"/>
      <c r="AF49" s="4">
        <v>200000</v>
      </c>
      <c r="AG49" s="4"/>
      <c r="AH49" s="4">
        <v>300000</v>
      </c>
      <c r="AI49" s="4"/>
      <c r="AJ49" s="4">
        <v>200000</v>
      </c>
      <c r="AK49" s="4"/>
      <c r="AL49" s="435">
        <v>300000</v>
      </c>
      <c r="AM49" s="4">
        <v>1000000</v>
      </c>
      <c r="AN49" s="435">
        <v>0</v>
      </c>
      <c r="AO49" s="4">
        <v>500000</v>
      </c>
      <c r="AP49" s="4">
        <v>500000</v>
      </c>
      <c r="AQ49" s="4"/>
      <c r="AR49" s="4"/>
      <c r="AS49" s="4"/>
      <c r="AT49" s="4"/>
      <c r="AU49" s="4"/>
      <c r="AV49" s="4">
        <f t="shared" si="6"/>
        <v>300000</v>
      </c>
      <c r="AW49" s="4"/>
      <c r="AX49" s="4"/>
      <c r="AY49" s="4"/>
      <c r="AZ49" s="4"/>
    </row>
    <row r="50" spans="1:59" ht="31.95" customHeight="1">
      <c r="A50" s="3">
        <f t="shared" si="5"/>
        <v>46</v>
      </c>
      <c r="B50" s="3">
        <v>2038</v>
      </c>
      <c r="C50" s="3" t="s">
        <v>438</v>
      </c>
      <c r="D50" s="4">
        <v>4950000</v>
      </c>
      <c r="E50" s="4">
        <v>4950000</v>
      </c>
      <c r="F50" s="4">
        <f t="shared" si="0"/>
        <v>0</v>
      </c>
      <c r="G50" s="4">
        <v>3450000</v>
      </c>
      <c r="H50" s="4">
        <v>2650756</v>
      </c>
      <c r="I50" s="4">
        <v>0</v>
      </c>
      <c r="J50" s="4">
        <v>683824</v>
      </c>
      <c r="K50" s="4">
        <f t="shared" si="8"/>
        <v>683824</v>
      </c>
      <c r="L50" s="4">
        <f t="shared" si="9"/>
        <v>3334580</v>
      </c>
      <c r="M50" s="4">
        <f t="shared" si="7"/>
        <v>115420</v>
      </c>
      <c r="N50" s="4">
        <f>1500000-500000</f>
        <v>1000000</v>
      </c>
      <c r="O50" s="4">
        <f t="shared" si="2"/>
        <v>500000</v>
      </c>
      <c r="P50" s="4">
        <f t="shared" si="3"/>
        <v>115420</v>
      </c>
      <c r="Q50" s="4"/>
      <c r="R50" s="4"/>
      <c r="S50" s="4">
        <f t="shared" si="4"/>
        <v>0</v>
      </c>
      <c r="T50" s="4">
        <v>0</v>
      </c>
      <c r="U50" s="4">
        <v>1000000</v>
      </c>
      <c r="V50" s="4">
        <v>500000</v>
      </c>
      <c r="W50" s="154">
        <v>500000</v>
      </c>
      <c r="X50" s="4"/>
      <c r="Y50" s="4"/>
      <c r="Z50" s="4"/>
      <c r="AA50" s="4"/>
      <c r="AB50" s="3" t="s">
        <v>465</v>
      </c>
      <c r="AC50" s="3">
        <v>810000</v>
      </c>
      <c r="AD50" s="380"/>
      <c r="AE50" s="154">
        <v>200000</v>
      </c>
      <c r="AF50" s="4"/>
      <c r="AG50" s="4">
        <v>600000</v>
      </c>
      <c r="AH50" s="4"/>
      <c r="AI50" s="4"/>
      <c r="AJ50" s="4">
        <v>200000</v>
      </c>
      <c r="AK50" s="4"/>
      <c r="AL50" s="435"/>
      <c r="AM50" s="4">
        <v>1000000</v>
      </c>
      <c r="AN50" s="4">
        <v>0</v>
      </c>
      <c r="AO50" s="4">
        <v>500000</v>
      </c>
      <c r="AP50" s="4">
        <v>500000</v>
      </c>
      <c r="AQ50" s="4"/>
      <c r="AR50" s="4"/>
      <c r="AS50" s="4"/>
      <c r="AT50" s="4"/>
      <c r="AU50" s="4"/>
      <c r="AV50" s="4">
        <f t="shared" si="6"/>
        <v>0</v>
      </c>
      <c r="AW50" s="4"/>
      <c r="AX50" s="4"/>
      <c r="AY50" s="4"/>
      <c r="AZ50" s="4"/>
    </row>
    <row r="51" spans="1:59" ht="31.95" customHeight="1">
      <c r="A51" s="3">
        <f t="shared" si="5"/>
        <v>47</v>
      </c>
      <c r="B51" s="3">
        <v>2039</v>
      </c>
      <c r="C51" s="3" t="s">
        <v>137</v>
      </c>
      <c r="D51" s="4">
        <v>535000</v>
      </c>
      <c r="E51" s="4">
        <v>535000</v>
      </c>
      <c r="F51" s="4">
        <f t="shared" si="0"/>
        <v>0</v>
      </c>
      <c r="G51" s="4">
        <v>35000</v>
      </c>
      <c r="H51" s="4">
        <v>34999</v>
      </c>
      <c r="I51" s="4">
        <v>0</v>
      </c>
      <c r="J51" s="4">
        <v>0</v>
      </c>
      <c r="K51" s="4">
        <f t="shared" si="8"/>
        <v>0</v>
      </c>
      <c r="L51" s="4">
        <f t="shared" si="9"/>
        <v>34999</v>
      </c>
      <c r="M51" s="4">
        <f t="shared" si="7"/>
        <v>1</v>
      </c>
      <c r="N51" s="4">
        <v>500000</v>
      </c>
      <c r="O51" s="4">
        <f t="shared" si="2"/>
        <v>0</v>
      </c>
      <c r="P51" s="4">
        <f t="shared" si="3"/>
        <v>1</v>
      </c>
      <c r="Q51" s="4"/>
      <c r="R51" s="4"/>
      <c r="S51" s="4">
        <f t="shared" si="4"/>
        <v>0</v>
      </c>
      <c r="T51" s="4">
        <v>0</v>
      </c>
      <c r="U51" s="4">
        <v>500000</v>
      </c>
      <c r="V51" s="4"/>
      <c r="W51" s="154">
        <v>500000</v>
      </c>
      <c r="X51" s="4"/>
      <c r="Y51" s="4"/>
      <c r="Z51" s="4"/>
      <c r="AA51" s="4"/>
      <c r="AB51" s="59" t="s">
        <v>584</v>
      </c>
      <c r="AC51" s="3">
        <v>760000</v>
      </c>
      <c r="AD51" s="380"/>
      <c r="AE51" s="154">
        <v>100000</v>
      </c>
      <c r="AF51" s="4"/>
      <c r="AG51" s="4"/>
      <c r="AH51" s="4"/>
      <c r="AI51" s="4"/>
      <c r="AJ51" s="4">
        <v>250000</v>
      </c>
      <c r="AK51" s="4"/>
      <c r="AL51" s="435">
        <v>150000</v>
      </c>
      <c r="AM51" s="4">
        <v>500000</v>
      </c>
      <c r="AN51" s="435">
        <v>0</v>
      </c>
      <c r="AO51" s="4"/>
      <c r="AP51" s="4">
        <v>500000</v>
      </c>
      <c r="AQ51" s="4"/>
      <c r="AR51" s="4"/>
      <c r="AS51" s="4"/>
      <c r="AT51" s="4"/>
      <c r="AU51" s="4"/>
      <c r="AV51" s="4">
        <f t="shared" si="6"/>
        <v>150000</v>
      </c>
      <c r="AW51" s="4"/>
      <c r="AX51" s="4"/>
      <c r="AY51" s="4"/>
      <c r="AZ51" s="4"/>
    </row>
    <row r="52" spans="1:59" ht="31.95" customHeight="1">
      <c r="A52" s="3">
        <f t="shared" si="5"/>
        <v>48</v>
      </c>
      <c r="B52" s="3">
        <v>2040</v>
      </c>
      <c r="C52" s="3" t="s">
        <v>301</v>
      </c>
      <c r="D52" s="4">
        <f>1500000-290000</f>
        <v>1210000</v>
      </c>
      <c r="E52" s="4">
        <v>910000</v>
      </c>
      <c r="F52" s="4">
        <f t="shared" si="0"/>
        <v>300000</v>
      </c>
      <c r="G52" s="4">
        <v>910000</v>
      </c>
      <c r="H52" s="4">
        <v>832911</v>
      </c>
      <c r="I52" s="4">
        <v>0</v>
      </c>
      <c r="J52" s="4">
        <v>30442</v>
      </c>
      <c r="K52" s="4">
        <f t="shared" si="8"/>
        <v>30442</v>
      </c>
      <c r="L52" s="4">
        <f t="shared" si="9"/>
        <v>863353</v>
      </c>
      <c r="M52" s="4">
        <f t="shared" si="7"/>
        <v>46647</v>
      </c>
      <c r="N52" s="4">
        <f>500000-200000</f>
        <v>300000</v>
      </c>
      <c r="O52" s="4">
        <f t="shared" si="2"/>
        <v>0</v>
      </c>
      <c r="P52" s="4">
        <f t="shared" si="3"/>
        <v>46647</v>
      </c>
      <c r="Q52" s="4"/>
      <c r="R52" s="4"/>
      <c r="S52" s="4">
        <f t="shared" si="4"/>
        <v>0</v>
      </c>
      <c r="T52" s="4">
        <v>0</v>
      </c>
      <c r="U52" s="4">
        <v>300000</v>
      </c>
      <c r="V52" s="4"/>
      <c r="W52" s="154">
        <v>300000</v>
      </c>
      <c r="X52" s="4"/>
      <c r="Y52" s="4"/>
      <c r="Z52" s="4"/>
      <c r="AA52" s="4"/>
      <c r="AB52" s="3" t="s">
        <v>598</v>
      </c>
      <c r="AC52" s="3">
        <v>829000</v>
      </c>
      <c r="AD52" s="380"/>
      <c r="AE52" s="154">
        <v>100000</v>
      </c>
      <c r="AF52" s="4"/>
      <c r="AG52" s="4"/>
      <c r="AH52" s="4"/>
      <c r="AI52" s="4"/>
      <c r="AJ52" s="4">
        <v>200000</v>
      </c>
      <c r="AK52" s="4"/>
      <c r="AL52" s="435"/>
      <c r="AM52" s="4">
        <v>300000</v>
      </c>
      <c r="AN52" s="4">
        <v>0</v>
      </c>
      <c r="AO52" s="4"/>
      <c r="AP52" s="4">
        <v>300000</v>
      </c>
      <c r="AQ52" s="4"/>
      <c r="AR52" s="4"/>
      <c r="AS52" s="4"/>
      <c r="AT52" s="4"/>
      <c r="AU52" s="4"/>
      <c r="AV52" s="4">
        <f t="shared" si="6"/>
        <v>0</v>
      </c>
      <c r="AW52" s="4"/>
      <c r="AX52" s="4"/>
      <c r="AY52" s="4"/>
      <c r="AZ52" s="4"/>
    </row>
    <row r="53" spans="1:59" ht="31.95" customHeight="1">
      <c r="A53" s="3">
        <f t="shared" si="5"/>
        <v>49</v>
      </c>
      <c r="B53" s="3">
        <v>2043</v>
      </c>
      <c r="C53" s="3" t="s">
        <v>445</v>
      </c>
      <c r="D53" s="4">
        <f>10000000-250000</f>
        <v>9750000</v>
      </c>
      <c r="E53" s="4">
        <v>7350000</v>
      </c>
      <c r="F53" s="4">
        <f t="shared" si="0"/>
        <v>2400000</v>
      </c>
      <c r="G53" s="4">
        <v>6750000</v>
      </c>
      <c r="H53" s="4">
        <v>6198991</v>
      </c>
      <c r="I53" s="4">
        <v>277159</v>
      </c>
      <c r="J53" s="4">
        <v>214042</v>
      </c>
      <c r="K53" s="4">
        <f t="shared" si="8"/>
        <v>491201</v>
      </c>
      <c r="L53" s="4">
        <f t="shared" si="9"/>
        <v>6690192</v>
      </c>
      <c r="M53" s="4">
        <f t="shared" si="7"/>
        <v>59808</v>
      </c>
      <c r="N53" s="4">
        <f>2000000+1000000</f>
        <v>3000000</v>
      </c>
      <c r="O53" s="4">
        <f t="shared" si="2"/>
        <v>0</v>
      </c>
      <c r="P53" s="4">
        <f t="shared" si="3"/>
        <v>59808</v>
      </c>
      <c r="Q53" s="4"/>
      <c r="R53" s="4"/>
      <c r="S53" s="4">
        <f t="shared" si="4"/>
        <v>0</v>
      </c>
      <c r="T53" s="4">
        <v>0</v>
      </c>
      <c r="U53" s="4">
        <v>3000000</v>
      </c>
      <c r="V53" s="4"/>
      <c r="W53" s="154">
        <v>3000000</v>
      </c>
      <c r="X53" s="4"/>
      <c r="Y53" s="4"/>
      <c r="Z53" s="4"/>
      <c r="AA53" s="4"/>
      <c r="AB53" s="3" t="s">
        <v>865</v>
      </c>
      <c r="AC53" s="3">
        <v>747000</v>
      </c>
      <c r="AD53" s="154">
        <v>1000000</v>
      </c>
      <c r="AE53" s="154">
        <v>1700000</v>
      </c>
      <c r="AF53" s="4">
        <v>300000</v>
      </c>
      <c r="AG53" s="4"/>
      <c r="AH53" s="4"/>
      <c r="AI53" s="4"/>
      <c r="AJ53" s="4"/>
      <c r="AK53" s="4"/>
      <c r="AL53" s="435"/>
      <c r="AM53" s="4">
        <v>3000000</v>
      </c>
      <c r="AN53" s="4">
        <v>0</v>
      </c>
      <c r="AO53" s="4"/>
      <c r="AP53" s="4">
        <v>3000000</v>
      </c>
      <c r="AQ53" s="4"/>
      <c r="AR53" s="4"/>
      <c r="AS53" s="4"/>
      <c r="AT53" s="4"/>
      <c r="AU53" s="4"/>
      <c r="AV53" s="4">
        <f t="shared" si="6"/>
        <v>0</v>
      </c>
      <c r="AW53" s="4"/>
      <c r="AX53" s="4"/>
      <c r="AY53" s="4"/>
      <c r="AZ53" s="4"/>
    </row>
    <row r="54" spans="1:59" ht="31.95" customHeight="1">
      <c r="A54" s="3">
        <f t="shared" si="5"/>
        <v>50</v>
      </c>
      <c r="B54" s="3">
        <v>2044</v>
      </c>
      <c r="C54" s="3" t="s">
        <v>138</v>
      </c>
      <c r="D54" s="4">
        <v>105000</v>
      </c>
      <c r="E54" s="4">
        <v>105000</v>
      </c>
      <c r="F54" s="4">
        <f t="shared" si="0"/>
        <v>0</v>
      </c>
      <c r="G54" s="4">
        <v>105000</v>
      </c>
      <c r="H54" s="4">
        <v>56160</v>
      </c>
      <c r="I54" s="4">
        <v>0</v>
      </c>
      <c r="J54" s="4">
        <v>0</v>
      </c>
      <c r="K54" s="4">
        <f t="shared" si="8"/>
        <v>0</v>
      </c>
      <c r="L54" s="4">
        <f t="shared" si="9"/>
        <v>56160</v>
      </c>
      <c r="M54" s="4">
        <f t="shared" si="7"/>
        <v>48840</v>
      </c>
      <c r="N54" s="4"/>
      <c r="O54" s="4">
        <f t="shared" si="2"/>
        <v>0</v>
      </c>
      <c r="P54" s="4">
        <f t="shared" si="3"/>
        <v>48840</v>
      </c>
      <c r="Q54" s="4"/>
      <c r="R54" s="4"/>
      <c r="S54" s="4">
        <f t="shared" si="4"/>
        <v>0</v>
      </c>
      <c r="T54" s="4">
        <v>0</v>
      </c>
      <c r="U54" s="4">
        <v>0</v>
      </c>
      <c r="V54" s="4"/>
      <c r="W54" s="154">
        <v>0</v>
      </c>
      <c r="X54" s="4"/>
      <c r="Y54" s="4"/>
      <c r="Z54" s="4"/>
      <c r="AA54" s="4"/>
      <c r="AB54" s="3" t="s">
        <v>629</v>
      </c>
      <c r="AC54" s="3">
        <v>747000</v>
      </c>
      <c r="AD54" s="380"/>
      <c r="AE54" s="154"/>
      <c r="AF54" s="4"/>
      <c r="AG54" s="4"/>
      <c r="AH54" s="4"/>
      <c r="AI54" s="4"/>
      <c r="AJ54" s="4"/>
      <c r="AK54" s="4"/>
      <c r="AL54" s="435"/>
      <c r="AM54" s="4">
        <v>0</v>
      </c>
      <c r="AN54" s="4">
        <v>0</v>
      </c>
      <c r="AO54" s="4"/>
      <c r="AP54" s="4">
        <v>0</v>
      </c>
      <c r="AQ54" s="4"/>
      <c r="AR54" s="4"/>
      <c r="AS54" s="4"/>
      <c r="AT54" s="4"/>
      <c r="AU54" s="4"/>
      <c r="AV54" s="4">
        <f t="shared" si="6"/>
        <v>0</v>
      </c>
      <c r="AW54" s="4"/>
      <c r="AX54" s="4"/>
      <c r="AY54" s="4"/>
      <c r="AZ54" s="4"/>
    </row>
    <row r="55" spans="1:59" ht="31.95" customHeight="1">
      <c r="A55" s="3">
        <f t="shared" si="5"/>
        <v>51</v>
      </c>
      <c r="B55" s="3">
        <v>2045</v>
      </c>
      <c r="C55" s="3" t="s">
        <v>1218</v>
      </c>
      <c r="D55" s="4">
        <v>205000</v>
      </c>
      <c r="E55" s="4">
        <v>205000</v>
      </c>
      <c r="F55" s="4">
        <f t="shared" si="0"/>
        <v>0</v>
      </c>
      <c r="G55" s="4">
        <v>205000</v>
      </c>
      <c r="H55" s="4">
        <v>0</v>
      </c>
      <c r="I55" s="4">
        <v>184044</v>
      </c>
      <c r="J55" s="4">
        <v>0</v>
      </c>
      <c r="K55" s="4">
        <f t="shared" si="8"/>
        <v>184044</v>
      </c>
      <c r="L55" s="4">
        <f t="shared" si="9"/>
        <v>184044</v>
      </c>
      <c r="M55" s="4">
        <f t="shared" si="7"/>
        <v>20956</v>
      </c>
      <c r="N55" s="4"/>
      <c r="O55" s="4">
        <f t="shared" si="2"/>
        <v>0</v>
      </c>
      <c r="P55" s="4">
        <f t="shared" si="3"/>
        <v>20956</v>
      </c>
      <c r="Q55" s="4"/>
      <c r="R55" s="4"/>
      <c r="S55" s="4">
        <f t="shared" si="4"/>
        <v>0</v>
      </c>
      <c r="T55" s="4">
        <v>0</v>
      </c>
      <c r="U55" s="4">
        <v>0</v>
      </c>
      <c r="V55" s="4"/>
      <c r="W55" s="154">
        <v>0</v>
      </c>
      <c r="X55" s="4"/>
      <c r="Y55" s="4"/>
      <c r="Z55" s="4"/>
      <c r="AA55" s="4"/>
      <c r="AB55" s="3" t="s">
        <v>630</v>
      </c>
      <c r="AC55" s="3">
        <v>747000</v>
      </c>
      <c r="AD55" s="380"/>
      <c r="AE55" s="380"/>
      <c r="AF55" s="4"/>
      <c r="AG55" s="4"/>
      <c r="AH55" s="4"/>
      <c r="AI55" s="4"/>
      <c r="AJ55" s="4"/>
      <c r="AK55" s="4"/>
      <c r="AL55" s="435"/>
      <c r="AM55" s="4">
        <v>0</v>
      </c>
      <c r="AN55" s="4">
        <v>0</v>
      </c>
      <c r="AO55" s="4"/>
      <c r="AP55" s="4">
        <v>0</v>
      </c>
      <c r="AQ55" s="4"/>
      <c r="AR55" s="4"/>
      <c r="AS55" s="4"/>
      <c r="AT55" s="4"/>
      <c r="AU55" s="4"/>
      <c r="AV55" s="4">
        <f t="shared" si="6"/>
        <v>0</v>
      </c>
      <c r="AW55" s="4"/>
      <c r="AX55" s="4"/>
      <c r="AY55" s="4"/>
      <c r="AZ55" s="4"/>
    </row>
    <row r="56" spans="1:59" ht="31.95" customHeight="1">
      <c r="A56" s="3">
        <f t="shared" si="5"/>
        <v>52</v>
      </c>
      <c r="B56" s="3">
        <v>2047</v>
      </c>
      <c r="C56" s="3" t="s">
        <v>303</v>
      </c>
      <c r="D56" s="4">
        <v>170000</v>
      </c>
      <c r="E56" s="4">
        <v>170000</v>
      </c>
      <c r="F56" s="4">
        <f t="shared" si="0"/>
        <v>0</v>
      </c>
      <c r="G56" s="4">
        <v>170000</v>
      </c>
      <c r="H56" s="4">
        <v>117000</v>
      </c>
      <c r="I56" s="4">
        <v>53000</v>
      </c>
      <c r="J56" s="4">
        <v>0</v>
      </c>
      <c r="K56" s="4">
        <f t="shared" si="8"/>
        <v>53000</v>
      </c>
      <c r="L56" s="4">
        <f t="shared" si="9"/>
        <v>170000</v>
      </c>
      <c r="M56" s="4">
        <f t="shared" si="7"/>
        <v>0</v>
      </c>
      <c r="N56" s="4"/>
      <c r="O56" s="4">
        <f t="shared" si="2"/>
        <v>0</v>
      </c>
      <c r="P56" s="4">
        <f t="shared" si="3"/>
        <v>0</v>
      </c>
      <c r="Q56" s="4"/>
      <c r="R56" s="4"/>
      <c r="S56" s="4">
        <f t="shared" si="4"/>
        <v>0</v>
      </c>
      <c r="T56" s="4">
        <v>0</v>
      </c>
      <c r="U56" s="4">
        <v>0</v>
      </c>
      <c r="V56" s="4"/>
      <c r="W56" s="154">
        <v>0</v>
      </c>
      <c r="X56" s="4"/>
      <c r="Y56" s="4"/>
      <c r="Z56" s="4"/>
      <c r="AA56" s="4"/>
      <c r="AB56" s="3" t="s">
        <v>656</v>
      </c>
      <c r="AC56" s="3">
        <v>747000</v>
      </c>
      <c r="AD56" s="380"/>
      <c r="AE56" s="380"/>
      <c r="AF56" s="4"/>
      <c r="AG56" s="4"/>
      <c r="AH56" s="4"/>
      <c r="AI56" s="4"/>
      <c r="AJ56" s="4"/>
      <c r="AK56" s="4"/>
      <c r="AL56" s="435"/>
      <c r="AM56" s="4">
        <v>0</v>
      </c>
      <c r="AN56" s="4">
        <v>0</v>
      </c>
      <c r="AO56" s="4"/>
      <c r="AP56" s="4">
        <v>0</v>
      </c>
      <c r="AQ56" s="4"/>
      <c r="AR56" s="4"/>
      <c r="AS56" s="4"/>
      <c r="AT56" s="4"/>
      <c r="AU56" s="4"/>
      <c r="AV56" s="4">
        <f t="shared" si="6"/>
        <v>0</v>
      </c>
      <c r="AW56" s="4"/>
      <c r="AX56" s="4"/>
      <c r="AY56" s="4"/>
      <c r="AZ56" s="4"/>
    </row>
    <row r="57" spans="1:59" ht="31.95" customHeight="1">
      <c r="A57" s="3">
        <f t="shared" si="5"/>
        <v>53</v>
      </c>
      <c r="B57" s="3">
        <v>2063</v>
      </c>
      <c r="C57" s="3" t="s">
        <v>289</v>
      </c>
      <c r="D57" s="4">
        <v>2400000</v>
      </c>
      <c r="E57" s="4">
        <v>2400000</v>
      </c>
      <c r="F57" s="4">
        <f t="shared" si="0"/>
        <v>0</v>
      </c>
      <c r="G57" s="4">
        <v>2400000</v>
      </c>
      <c r="H57" s="4">
        <v>443126</v>
      </c>
      <c r="I57" s="4">
        <v>1724245</v>
      </c>
      <c r="J57" s="4">
        <v>13386</v>
      </c>
      <c r="K57" s="4">
        <f>SUM(I57:J57)</f>
        <v>1737631</v>
      </c>
      <c r="L57" s="4">
        <f>K57+H57</f>
        <v>2180757</v>
      </c>
      <c r="M57" s="4">
        <f t="shared" si="7"/>
        <v>219243</v>
      </c>
      <c r="N57" s="4"/>
      <c r="O57" s="4">
        <f t="shared" si="2"/>
        <v>0</v>
      </c>
      <c r="P57" s="4">
        <f t="shared" si="3"/>
        <v>219243</v>
      </c>
      <c r="Q57" s="4"/>
      <c r="R57" s="4"/>
      <c r="S57" s="4">
        <f t="shared" si="4"/>
        <v>0</v>
      </c>
      <c r="T57" s="4">
        <v>0</v>
      </c>
      <c r="U57" s="4">
        <v>0</v>
      </c>
      <c r="V57" s="4"/>
      <c r="W57" s="4">
        <v>0</v>
      </c>
      <c r="X57" s="4"/>
      <c r="Y57" s="4"/>
      <c r="Z57" s="4"/>
      <c r="AA57" s="3"/>
      <c r="AB57" s="3" t="s">
        <v>593</v>
      </c>
      <c r="AC57" s="3">
        <v>810000</v>
      </c>
      <c r="AD57" s="380"/>
      <c r="AE57" s="380"/>
      <c r="AF57" s="4"/>
      <c r="AG57" s="4"/>
      <c r="AH57" s="4"/>
      <c r="AI57" s="4"/>
      <c r="AJ57" s="4"/>
      <c r="AK57" s="4"/>
      <c r="AL57" s="435"/>
      <c r="AM57" s="4">
        <v>0</v>
      </c>
      <c r="AN57" s="4">
        <v>0</v>
      </c>
      <c r="AO57" s="4"/>
      <c r="AP57" s="4">
        <v>0</v>
      </c>
      <c r="AQ57" s="4"/>
      <c r="AR57" s="4"/>
      <c r="AS57" s="4"/>
      <c r="AT57" s="4"/>
      <c r="AU57" s="4"/>
      <c r="AV57" s="4">
        <f t="shared" si="6"/>
        <v>0</v>
      </c>
      <c r="AW57" s="4"/>
      <c r="AX57" s="4"/>
      <c r="AY57" s="4"/>
      <c r="AZ57" s="4"/>
    </row>
    <row r="58" spans="1:59" ht="31.95" customHeight="1">
      <c r="A58" s="3">
        <f t="shared" si="5"/>
        <v>54</v>
      </c>
      <c r="B58" s="3">
        <v>2066</v>
      </c>
      <c r="C58" s="3" t="s">
        <v>302</v>
      </c>
      <c r="D58" s="4">
        <v>112500</v>
      </c>
      <c r="E58" s="4">
        <v>112500</v>
      </c>
      <c r="F58" s="4">
        <f t="shared" si="0"/>
        <v>0</v>
      </c>
      <c r="G58" s="4">
        <v>112500</v>
      </c>
      <c r="H58" s="4">
        <v>111299</v>
      </c>
      <c r="I58" s="4">
        <v>0</v>
      </c>
      <c r="J58" s="4">
        <v>0</v>
      </c>
      <c r="K58" s="4">
        <f>I58+J58</f>
        <v>0</v>
      </c>
      <c r="L58" s="4">
        <f>H58+K58</f>
        <v>111299</v>
      </c>
      <c r="M58" s="4">
        <f t="shared" si="7"/>
        <v>1201</v>
      </c>
      <c r="N58" s="4"/>
      <c r="O58" s="4">
        <f t="shared" si="2"/>
        <v>0</v>
      </c>
      <c r="P58" s="4">
        <f t="shared" si="3"/>
        <v>1201</v>
      </c>
      <c r="Q58" s="4"/>
      <c r="R58" s="4"/>
      <c r="S58" s="4">
        <f t="shared" si="4"/>
        <v>0</v>
      </c>
      <c r="T58" s="4">
        <v>0</v>
      </c>
      <c r="U58" s="4">
        <v>0</v>
      </c>
      <c r="V58" s="4"/>
      <c r="W58" s="154">
        <v>0</v>
      </c>
      <c r="X58" s="4"/>
      <c r="Y58" s="4"/>
      <c r="Z58" s="4"/>
      <c r="AA58" s="4"/>
      <c r="AB58" s="59" t="s">
        <v>522</v>
      </c>
      <c r="AC58" s="3">
        <v>732000</v>
      </c>
      <c r="AD58" s="380"/>
      <c r="AE58" s="380"/>
      <c r="AF58" s="4"/>
      <c r="AG58" s="4"/>
      <c r="AH58" s="4"/>
      <c r="AI58" s="4"/>
      <c r="AJ58" s="4"/>
      <c r="AK58" s="4"/>
      <c r="AL58" s="435"/>
      <c r="AM58" s="4">
        <v>0</v>
      </c>
      <c r="AN58" s="4">
        <v>0</v>
      </c>
      <c r="AO58" s="4"/>
      <c r="AP58" s="4">
        <v>0</v>
      </c>
      <c r="AQ58" s="4"/>
      <c r="AR58" s="4"/>
      <c r="AS58" s="4"/>
      <c r="AT58" s="4"/>
      <c r="AU58" s="4"/>
      <c r="AV58" s="4">
        <f t="shared" si="6"/>
        <v>0</v>
      </c>
      <c r="AW58" s="4"/>
      <c r="AX58" s="4"/>
      <c r="AY58" s="4"/>
      <c r="AZ58" s="4"/>
    </row>
    <row r="59" spans="1:59" ht="31.95" customHeight="1">
      <c r="A59" s="3">
        <f t="shared" si="5"/>
        <v>55</v>
      </c>
      <c r="B59" s="230">
        <v>2071</v>
      </c>
      <c r="C59" s="3" t="s">
        <v>295</v>
      </c>
      <c r="D59" s="4">
        <v>300000</v>
      </c>
      <c r="E59" s="4">
        <v>300000</v>
      </c>
      <c r="F59" s="4">
        <f t="shared" si="0"/>
        <v>0</v>
      </c>
      <c r="G59" s="4">
        <v>300000</v>
      </c>
      <c r="H59" s="4">
        <v>270457</v>
      </c>
      <c r="I59" s="4">
        <v>0</v>
      </c>
      <c r="J59" s="4">
        <v>0</v>
      </c>
      <c r="K59" s="4">
        <f>SUM(I59:J59)</f>
        <v>0</v>
      </c>
      <c r="L59" s="4">
        <f>K59+H59</f>
        <v>270457</v>
      </c>
      <c r="M59" s="4">
        <f t="shared" si="7"/>
        <v>29543</v>
      </c>
      <c r="N59" s="4"/>
      <c r="O59" s="4">
        <f t="shared" si="2"/>
        <v>0</v>
      </c>
      <c r="P59" s="4">
        <f t="shared" si="3"/>
        <v>29543</v>
      </c>
      <c r="Q59" s="4"/>
      <c r="R59" s="4"/>
      <c r="S59" s="4">
        <f t="shared" si="4"/>
        <v>0</v>
      </c>
      <c r="T59" s="4">
        <v>0</v>
      </c>
      <c r="U59" s="4">
        <v>0</v>
      </c>
      <c r="V59" s="4"/>
      <c r="W59" s="4">
        <v>0</v>
      </c>
      <c r="X59" s="4"/>
      <c r="Y59" s="4"/>
      <c r="Z59" s="4"/>
      <c r="AA59" s="3"/>
      <c r="AB59" s="3" t="s">
        <v>426</v>
      </c>
      <c r="AC59" s="3">
        <v>810000</v>
      </c>
      <c r="AD59" s="380"/>
      <c r="AE59" s="380"/>
      <c r="AF59" s="4"/>
      <c r="AG59" s="4"/>
      <c r="AH59" s="4"/>
      <c r="AI59" s="4"/>
      <c r="AJ59" s="4"/>
      <c r="AK59" s="4"/>
      <c r="AL59" s="435"/>
      <c r="AM59" s="4">
        <v>0</v>
      </c>
      <c r="AN59" s="4">
        <v>0</v>
      </c>
      <c r="AO59" s="4"/>
      <c r="AP59" s="4">
        <v>0</v>
      </c>
      <c r="AQ59" s="4"/>
      <c r="AR59" s="4"/>
      <c r="AS59" s="4"/>
      <c r="AT59" s="4"/>
      <c r="AU59" s="4"/>
      <c r="AV59" s="4">
        <f t="shared" si="6"/>
        <v>0</v>
      </c>
      <c r="AW59" s="4"/>
      <c r="AX59" s="4"/>
      <c r="AY59" s="4"/>
      <c r="AZ59" s="4"/>
    </row>
    <row r="60" spans="1:59" ht="31.95" customHeight="1">
      <c r="A60" s="3">
        <f t="shared" si="5"/>
        <v>56</v>
      </c>
      <c r="B60" s="3">
        <v>2074</v>
      </c>
      <c r="C60" s="3" t="s">
        <v>1343</v>
      </c>
      <c r="D60" s="4">
        <f>2000000-500000</f>
        <v>1500000</v>
      </c>
      <c r="E60" s="4">
        <v>2000000</v>
      </c>
      <c r="F60" s="4">
        <f t="shared" si="0"/>
        <v>-500000</v>
      </c>
      <c r="G60" s="4">
        <v>1500000</v>
      </c>
      <c r="H60" s="4">
        <v>918775</v>
      </c>
      <c r="I60" s="4">
        <v>0</v>
      </c>
      <c r="J60" s="4">
        <v>201211</v>
      </c>
      <c r="K60" s="4">
        <f>SUM(I60:J60)</f>
        <v>201211</v>
      </c>
      <c r="L60" s="4">
        <f>K60+H60</f>
        <v>1119986</v>
      </c>
      <c r="M60" s="4">
        <f t="shared" si="7"/>
        <v>380014</v>
      </c>
      <c r="N60" s="4"/>
      <c r="O60" s="4">
        <f t="shared" si="2"/>
        <v>0</v>
      </c>
      <c r="P60" s="4">
        <f t="shared" si="3"/>
        <v>380014</v>
      </c>
      <c r="Q60" s="4"/>
      <c r="R60" s="4"/>
      <c r="S60" s="4">
        <f t="shared" si="4"/>
        <v>0</v>
      </c>
      <c r="T60" s="4">
        <v>0</v>
      </c>
      <c r="U60" s="4">
        <v>0</v>
      </c>
      <c r="V60" s="4"/>
      <c r="W60" s="4">
        <v>0</v>
      </c>
      <c r="X60" s="4"/>
      <c r="Y60" s="4"/>
      <c r="Z60" s="4"/>
      <c r="AA60" s="3"/>
      <c r="AB60" s="3" t="s">
        <v>474</v>
      </c>
      <c r="AC60" s="3">
        <v>930000</v>
      </c>
      <c r="AD60" s="380"/>
      <c r="AE60" s="380"/>
      <c r="AF60" s="4"/>
      <c r="AG60" s="4"/>
      <c r="AH60" s="4"/>
      <c r="AI60" s="4"/>
      <c r="AJ60" s="4"/>
      <c r="AK60" s="4"/>
      <c r="AL60" s="435"/>
      <c r="AM60" s="4">
        <v>0</v>
      </c>
      <c r="AN60" s="4">
        <v>0</v>
      </c>
      <c r="AO60" s="4"/>
      <c r="AP60" s="4">
        <v>0</v>
      </c>
      <c r="AQ60" s="4"/>
      <c r="AR60" s="4"/>
      <c r="AS60" s="4"/>
      <c r="AT60" s="4"/>
      <c r="AU60" s="4"/>
      <c r="AV60" s="4">
        <f t="shared" si="6"/>
        <v>0</v>
      </c>
      <c r="AW60" s="4"/>
      <c r="AX60" s="4"/>
      <c r="AY60" s="4"/>
      <c r="AZ60" s="4"/>
    </row>
    <row r="61" spans="1:59" ht="31.95" customHeight="1">
      <c r="A61" s="3">
        <f t="shared" si="5"/>
        <v>57</v>
      </c>
      <c r="B61" s="28">
        <v>2088</v>
      </c>
      <c r="C61" s="3" t="s">
        <v>1008</v>
      </c>
      <c r="D61" s="4">
        <v>1600000</v>
      </c>
      <c r="E61" s="4">
        <v>1600000</v>
      </c>
      <c r="F61" s="4">
        <f t="shared" si="0"/>
        <v>0</v>
      </c>
      <c r="G61" s="4">
        <v>1600000</v>
      </c>
      <c r="H61" s="4">
        <v>1328832</v>
      </c>
      <c r="I61" s="4">
        <v>0</v>
      </c>
      <c r="J61" s="4">
        <v>0</v>
      </c>
      <c r="K61" s="4">
        <f>I61+J61</f>
        <v>0</v>
      </c>
      <c r="L61" s="4">
        <f>H61+K61</f>
        <v>1328832</v>
      </c>
      <c r="M61" s="4">
        <f t="shared" si="7"/>
        <v>271168</v>
      </c>
      <c r="N61" s="4"/>
      <c r="O61" s="4">
        <f t="shared" si="2"/>
        <v>0</v>
      </c>
      <c r="P61" s="4">
        <f t="shared" si="3"/>
        <v>271168</v>
      </c>
      <c r="Q61" s="4"/>
      <c r="R61" s="4"/>
      <c r="S61" s="4">
        <f t="shared" si="4"/>
        <v>0</v>
      </c>
      <c r="T61" s="4">
        <v>0</v>
      </c>
      <c r="U61" s="4">
        <v>0</v>
      </c>
      <c r="V61" s="4"/>
      <c r="W61" s="154">
        <v>0</v>
      </c>
      <c r="X61" s="4"/>
      <c r="Y61" s="4"/>
      <c r="Z61" s="4"/>
      <c r="AA61" s="4"/>
      <c r="AB61" s="3" t="s">
        <v>363</v>
      </c>
      <c r="AC61" s="3">
        <v>746000</v>
      </c>
      <c r="AD61" s="380"/>
      <c r="AE61" s="380"/>
      <c r="AF61" s="4"/>
      <c r="AG61" s="4"/>
      <c r="AH61" s="4"/>
      <c r="AI61" s="4"/>
      <c r="AJ61" s="4"/>
      <c r="AK61" s="4"/>
      <c r="AL61" s="435"/>
      <c r="AM61" s="4">
        <v>0</v>
      </c>
      <c r="AN61" s="4">
        <v>0</v>
      </c>
      <c r="AO61" s="4"/>
      <c r="AP61" s="4">
        <v>0</v>
      </c>
      <c r="AQ61" s="4"/>
      <c r="AR61" s="4"/>
      <c r="AS61" s="4"/>
      <c r="AT61" s="4"/>
      <c r="AU61" s="4"/>
      <c r="AV61" s="4">
        <f t="shared" si="6"/>
        <v>0</v>
      </c>
      <c r="AW61" s="4"/>
      <c r="AX61" s="4"/>
      <c r="AY61" s="4"/>
      <c r="AZ61" s="4"/>
    </row>
    <row r="62" spans="1:59" ht="31.95" customHeight="1">
      <c r="A62" s="3">
        <f t="shared" si="5"/>
        <v>58</v>
      </c>
      <c r="B62" s="245">
        <v>2094</v>
      </c>
      <c r="C62" s="153" t="s">
        <v>291</v>
      </c>
      <c r="D62" s="154">
        <f>1300000-300000</f>
        <v>1000000</v>
      </c>
      <c r="E62" s="154">
        <v>1000000</v>
      </c>
      <c r="F62" s="154">
        <f t="shared" si="0"/>
        <v>0</v>
      </c>
      <c r="G62" s="154">
        <v>300000</v>
      </c>
      <c r="H62" s="154">
        <v>224675</v>
      </c>
      <c r="I62" s="154">
        <v>0</v>
      </c>
      <c r="J62" s="154">
        <v>15210</v>
      </c>
      <c r="K62" s="154">
        <f>SUM(I62:J62)</f>
        <v>15210</v>
      </c>
      <c r="L62" s="154">
        <f>H62+K62</f>
        <v>239885</v>
      </c>
      <c r="M62" s="4">
        <f t="shared" si="7"/>
        <v>60115</v>
      </c>
      <c r="N62" s="154">
        <f>1000000-1000000</f>
        <v>0</v>
      </c>
      <c r="O62" s="4">
        <f t="shared" si="2"/>
        <v>700000</v>
      </c>
      <c r="P62" s="154">
        <f t="shared" si="3"/>
        <v>60115</v>
      </c>
      <c r="Q62" s="154"/>
      <c r="R62" s="154"/>
      <c r="S62" s="154">
        <f t="shared" si="4"/>
        <v>0</v>
      </c>
      <c r="T62" s="154">
        <v>0</v>
      </c>
      <c r="U62" s="4">
        <v>0</v>
      </c>
      <c r="V62" s="154"/>
      <c r="W62" s="154">
        <v>0</v>
      </c>
      <c r="X62" s="154"/>
      <c r="Y62" s="154"/>
      <c r="Z62" s="154"/>
      <c r="AA62" s="153"/>
      <c r="AB62" s="242" t="s">
        <v>839</v>
      </c>
      <c r="AC62" s="153">
        <v>720000</v>
      </c>
      <c r="AD62" s="380"/>
      <c r="AE62" s="380"/>
      <c r="AF62" s="4"/>
      <c r="AG62" s="4"/>
      <c r="AH62" s="4"/>
      <c r="AI62" s="4"/>
      <c r="AJ62" s="4"/>
      <c r="AK62" s="4"/>
      <c r="AL62" s="435"/>
      <c r="AM62" s="4">
        <v>0</v>
      </c>
      <c r="AN62" s="4">
        <v>0</v>
      </c>
      <c r="AO62" s="4"/>
      <c r="AP62" s="4">
        <v>0</v>
      </c>
      <c r="AQ62" s="4"/>
      <c r="AR62" s="4"/>
      <c r="AS62" s="4"/>
      <c r="AT62" s="4"/>
      <c r="AU62" s="4"/>
      <c r="AV62" s="4">
        <f t="shared" si="6"/>
        <v>0</v>
      </c>
      <c r="AW62" s="4"/>
      <c r="AX62" s="4"/>
      <c r="AY62" s="4"/>
      <c r="AZ62" s="4"/>
    </row>
    <row r="63" spans="1:59" s="383" customFormat="1" ht="31.95" customHeight="1">
      <c r="A63" s="3">
        <f t="shared" si="5"/>
        <v>59</v>
      </c>
      <c r="B63" s="3">
        <v>2095</v>
      </c>
      <c r="C63" s="3" t="s">
        <v>290</v>
      </c>
      <c r="D63" s="4">
        <f>260000-100000</f>
        <v>160000</v>
      </c>
      <c r="E63" s="4">
        <v>160000</v>
      </c>
      <c r="F63" s="4">
        <f t="shared" si="0"/>
        <v>0</v>
      </c>
      <c r="G63" s="4">
        <v>160000</v>
      </c>
      <c r="H63" s="4">
        <v>40365</v>
      </c>
      <c r="I63" s="4">
        <v>0</v>
      </c>
      <c r="J63" s="4">
        <v>0</v>
      </c>
      <c r="K63" s="4">
        <f>SUM(I63:J63)</f>
        <v>0</v>
      </c>
      <c r="L63" s="4">
        <f>K63+H63</f>
        <v>40365</v>
      </c>
      <c r="M63" s="4">
        <f t="shared" si="7"/>
        <v>119635</v>
      </c>
      <c r="N63" s="4">
        <f>50000-50000</f>
        <v>0</v>
      </c>
      <c r="O63" s="4">
        <f t="shared" si="2"/>
        <v>0</v>
      </c>
      <c r="P63" s="4">
        <f t="shared" si="3"/>
        <v>119635</v>
      </c>
      <c r="Q63" s="4"/>
      <c r="R63" s="4"/>
      <c r="S63" s="4">
        <f t="shared" si="4"/>
        <v>0</v>
      </c>
      <c r="T63" s="4">
        <v>0</v>
      </c>
      <c r="U63" s="4">
        <v>0</v>
      </c>
      <c r="V63" s="4"/>
      <c r="W63" s="4">
        <v>0</v>
      </c>
      <c r="X63" s="4"/>
      <c r="Y63" s="4"/>
      <c r="Z63" s="4"/>
      <c r="AA63" s="3"/>
      <c r="AB63" s="3" t="s">
        <v>594</v>
      </c>
      <c r="AC63" s="3">
        <v>610000</v>
      </c>
      <c r="AD63" s="380"/>
      <c r="AE63" s="380"/>
      <c r="AF63" s="4"/>
      <c r="AG63" s="4"/>
      <c r="AH63" s="4"/>
      <c r="AI63" s="4"/>
      <c r="AJ63" s="4"/>
      <c r="AK63" s="4"/>
      <c r="AL63" s="435"/>
      <c r="AM63" s="4">
        <v>0</v>
      </c>
      <c r="AN63" s="4">
        <v>0</v>
      </c>
      <c r="AO63" s="4"/>
      <c r="AP63" s="4">
        <v>0</v>
      </c>
      <c r="AQ63" s="4"/>
      <c r="AR63" s="4"/>
      <c r="AS63" s="4"/>
      <c r="AT63" s="4"/>
      <c r="AU63" s="4"/>
      <c r="AV63" s="4">
        <f t="shared" si="6"/>
        <v>0</v>
      </c>
      <c r="AW63" s="4"/>
      <c r="AX63" s="4"/>
      <c r="AY63" s="4"/>
      <c r="AZ63" s="4"/>
      <c r="BA63" s="372"/>
      <c r="BB63" s="372"/>
      <c r="BC63" s="372"/>
      <c r="BD63" s="372"/>
      <c r="BE63" s="372"/>
      <c r="BF63" s="372"/>
      <c r="BG63" s="372"/>
    </row>
    <row r="64" spans="1:59" ht="31.95" customHeight="1">
      <c r="A64" s="3">
        <f t="shared" si="5"/>
        <v>60</v>
      </c>
      <c r="B64" s="3">
        <v>2096</v>
      </c>
      <c r="C64" s="3" t="s">
        <v>1221</v>
      </c>
      <c r="D64" s="4">
        <v>1215000</v>
      </c>
      <c r="E64" s="4">
        <v>1215000</v>
      </c>
      <c r="F64" s="4">
        <f t="shared" si="0"/>
        <v>0</v>
      </c>
      <c r="G64" s="4">
        <v>1215000</v>
      </c>
      <c r="H64" s="4">
        <v>559349</v>
      </c>
      <c r="I64" s="4">
        <v>0</v>
      </c>
      <c r="J64" s="4">
        <v>654072</v>
      </c>
      <c r="K64" s="4">
        <f>SUM(I64:J64)</f>
        <v>654072</v>
      </c>
      <c r="L64" s="4">
        <f>K64+H64</f>
        <v>1213421</v>
      </c>
      <c r="M64" s="4">
        <f t="shared" si="7"/>
        <v>1579</v>
      </c>
      <c r="N64" s="4"/>
      <c r="O64" s="4">
        <f t="shared" si="2"/>
        <v>0</v>
      </c>
      <c r="P64" s="4">
        <f t="shared" si="3"/>
        <v>1579</v>
      </c>
      <c r="Q64" s="4"/>
      <c r="R64" s="4"/>
      <c r="S64" s="4">
        <f t="shared" si="4"/>
        <v>0</v>
      </c>
      <c r="T64" s="4">
        <v>0</v>
      </c>
      <c r="U64" s="4">
        <v>0</v>
      </c>
      <c r="V64" s="4"/>
      <c r="W64" s="4">
        <v>-167615</v>
      </c>
      <c r="X64" s="4"/>
      <c r="Y64" s="4"/>
      <c r="Z64" s="4"/>
      <c r="AA64" s="4">
        <v>167615</v>
      </c>
      <c r="AB64" s="3" t="s">
        <v>595</v>
      </c>
      <c r="AC64" s="3">
        <v>930000</v>
      </c>
      <c r="AD64" s="380"/>
      <c r="AE64" s="380"/>
      <c r="AF64" s="4"/>
      <c r="AG64" s="4"/>
      <c r="AH64" s="4"/>
      <c r="AI64" s="4"/>
      <c r="AJ64" s="4"/>
      <c r="AK64" s="4"/>
      <c r="AL64" s="435"/>
      <c r="AM64" s="4">
        <v>0</v>
      </c>
      <c r="AN64" s="4">
        <v>0</v>
      </c>
      <c r="AO64" s="4"/>
      <c r="AP64" s="4">
        <v>0</v>
      </c>
      <c r="AQ64" s="4"/>
      <c r="AR64" s="4"/>
      <c r="AS64" s="4"/>
      <c r="AT64" s="4"/>
      <c r="AU64" s="4"/>
      <c r="AV64" s="4">
        <f t="shared" si="6"/>
        <v>0</v>
      </c>
      <c r="AW64" s="4"/>
      <c r="AX64" s="4"/>
      <c r="AY64" s="4"/>
      <c r="AZ64" s="4"/>
    </row>
    <row r="65" spans="1:59" ht="31.95" customHeight="1">
      <c r="A65" s="3">
        <f t="shared" si="5"/>
        <v>61</v>
      </c>
      <c r="B65" s="28">
        <v>2125</v>
      </c>
      <c r="C65" s="3" t="s">
        <v>304</v>
      </c>
      <c r="D65" s="4">
        <v>146923</v>
      </c>
      <c r="E65" s="4">
        <v>146923</v>
      </c>
      <c r="F65" s="4">
        <f t="shared" si="0"/>
        <v>0</v>
      </c>
      <c r="G65" s="4">
        <v>146923</v>
      </c>
      <c r="H65" s="4">
        <v>121136</v>
      </c>
      <c r="I65" s="4">
        <v>0</v>
      </c>
      <c r="J65" s="4">
        <v>25787</v>
      </c>
      <c r="K65" s="4">
        <f>I65+J65</f>
        <v>25787</v>
      </c>
      <c r="L65" s="4">
        <f>H65+K65</f>
        <v>146923</v>
      </c>
      <c r="M65" s="4">
        <f t="shared" si="7"/>
        <v>0</v>
      </c>
      <c r="N65" s="4"/>
      <c r="O65" s="4">
        <f t="shared" si="2"/>
        <v>0</v>
      </c>
      <c r="P65" s="4">
        <f t="shared" si="3"/>
        <v>0</v>
      </c>
      <c r="Q65" s="4"/>
      <c r="R65" s="4"/>
      <c r="S65" s="4">
        <f t="shared" si="4"/>
        <v>0</v>
      </c>
      <c r="T65" s="4">
        <v>0</v>
      </c>
      <c r="U65" s="4">
        <v>0</v>
      </c>
      <c r="V65" s="4"/>
      <c r="W65" s="154">
        <v>0</v>
      </c>
      <c r="X65" s="4"/>
      <c r="Y65" s="4"/>
      <c r="Z65" s="4"/>
      <c r="AA65" s="4"/>
      <c r="AB65" s="3" t="s">
        <v>631</v>
      </c>
      <c r="AC65" s="3">
        <v>747000</v>
      </c>
      <c r="AD65" s="380"/>
      <c r="AE65" s="380"/>
      <c r="AF65" s="4"/>
      <c r="AG65" s="4"/>
      <c r="AH65" s="4"/>
      <c r="AI65" s="4"/>
      <c r="AJ65" s="4"/>
      <c r="AK65" s="4"/>
      <c r="AL65" s="435"/>
      <c r="AM65" s="4">
        <v>0</v>
      </c>
      <c r="AN65" s="4">
        <v>0</v>
      </c>
      <c r="AO65" s="4"/>
      <c r="AP65" s="4">
        <v>0</v>
      </c>
      <c r="AQ65" s="4"/>
      <c r="AR65" s="4"/>
      <c r="AS65" s="4"/>
      <c r="AT65" s="4"/>
      <c r="AU65" s="4"/>
      <c r="AV65" s="4">
        <f t="shared" si="6"/>
        <v>0</v>
      </c>
      <c r="AW65" s="4"/>
      <c r="AX65" s="4"/>
      <c r="AY65" s="4"/>
      <c r="AZ65" s="4"/>
    </row>
    <row r="66" spans="1:59" ht="31.95" customHeight="1">
      <c r="A66" s="3">
        <f t="shared" si="5"/>
        <v>62</v>
      </c>
      <c r="B66" s="3">
        <v>2131</v>
      </c>
      <c r="C66" s="3" t="s">
        <v>467</v>
      </c>
      <c r="D66" s="4">
        <v>7500000</v>
      </c>
      <c r="E66" s="4">
        <v>7500000</v>
      </c>
      <c r="F66" s="4">
        <f t="shared" si="0"/>
        <v>0</v>
      </c>
      <c r="G66" s="4">
        <v>4020000</v>
      </c>
      <c r="H66" s="4">
        <v>2699413</v>
      </c>
      <c r="I66" s="4">
        <v>696330</v>
      </c>
      <c r="J66" s="4">
        <v>483349</v>
      </c>
      <c r="K66" s="4">
        <f>SUM(I66:J66)</f>
        <v>1179679</v>
      </c>
      <c r="L66" s="4">
        <f>K66+H66</f>
        <v>3879092</v>
      </c>
      <c r="M66" s="4">
        <f t="shared" si="7"/>
        <v>140908</v>
      </c>
      <c r="N66" s="4">
        <f>2500000+700000+280000-3480000</f>
        <v>0</v>
      </c>
      <c r="O66" s="4">
        <f t="shared" si="2"/>
        <v>3480000</v>
      </c>
      <c r="P66" s="4">
        <f t="shared" si="3"/>
        <v>140908</v>
      </c>
      <c r="Q66" s="4"/>
      <c r="R66" s="4"/>
      <c r="S66" s="4">
        <f t="shared" si="4"/>
        <v>0</v>
      </c>
      <c r="T66" s="4">
        <v>0</v>
      </c>
      <c r="U66" s="4">
        <v>0</v>
      </c>
      <c r="V66" s="4"/>
      <c r="W66" s="4">
        <v>0</v>
      </c>
      <c r="X66" s="4"/>
      <c r="Y66" s="4"/>
      <c r="Z66" s="4"/>
      <c r="AA66" s="3"/>
      <c r="AB66" s="3" t="s">
        <v>1483</v>
      </c>
      <c r="AC66" s="3">
        <v>870000</v>
      </c>
      <c r="AD66" s="380"/>
      <c r="AE66" s="380"/>
      <c r="AF66" s="4"/>
      <c r="AG66" s="4"/>
      <c r="AH66" s="4"/>
      <c r="AI66" s="4"/>
      <c r="AJ66" s="4"/>
      <c r="AK66" s="4"/>
      <c r="AL66" s="435"/>
      <c r="AM66" s="4">
        <v>0</v>
      </c>
      <c r="AN66" s="4">
        <v>0</v>
      </c>
      <c r="AO66" s="4"/>
      <c r="AP66" s="4">
        <v>0</v>
      </c>
      <c r="AQ66" s="4"/>
      <c r="AR66" s="4"/>
      <c r="AS66" s="4"/>
      <c r="AT66" s="4"/>
      <c r="AU66" s="4"/>
      <c r="AV66" s="4">
        <f t="shared" si="6"/>
        <v>0</v>
      </c>
      <c r="AW66" s="4"/>
      <c r="AX66" s="4"/>
      <c r="AY66" s="4"/>
      <c r="AZ66" s="4"/>
    </row>
    <row r="67" spans="1:59" ht="31.95" customHeight="1">
      <c r="A67" s="3">
        <f t="shared" si="5"/>
        <v>63</v>
      </c>
      <c r="B67" s="3">
        <v>2133</v>
      </c>
      <c r="C67" s="3" t="s">
        <v>407</v>
      </c>
      <c r="D67" s="4">
        <f>8000000-850000-2000000</f>
        <v>5150000</v>
      </c>
      <c r="E67" s="4">
        <v>3150000</v>
      </c>
      <c r="F67" s="4">
        <f t="shared" si="0"/>
        <v>2000000</v>
      </c>
      <c r="G67" s="4">
        <v>3150000</v>
      </c>
      <c r="H67" s="4">
        <v>1399843</v>
      </c>
      <c r="I67" s="4">
        <v>0</v>
      </c>
      <c r="J67" s="4">
        <v>827984</v>
      </c>
      <c r="K67" s="4">
        <f>SUM(I67:J67)</f>
        <v>827984</v>
      </c>
      <c r="L67" s="4">
        <f>K67+H67</f>
        <v>2227827</v>
      </c>
      <c r="M67" s="4">
        <f t="shared" si="7"/>
        <v>922173</v>
      </c>
      <c r="N67" s="4">
        <f>4850000-850000-2000000</f>
        <v>2000000</v>
      </c>
      <c r="O67" s="4">
        <f t="shared" si="2"/>
        <v>0</v>
      </c>
      <c r="P67" s="4">
        <f t="shared" si="3"/>
        <v>922173</v>
      </c>
      <c r="Q67" s="4"/>
      <c r="R67" s="4"/>
      <c r="S67" s="4">
        <f t="shared" si="4"/>
        <v>0</v>
      </c>
      <c r="T67" s="4">
        <v>0</v>
      </c>
      <c r="U67" s="4">
        <v>2000000</v>
      </c>
      <c r="V67" s="4"/>
      <c r="W67" s="4">
        <v>2000000</v>
      </c>
      <c r="X67" s="4"/>
      <c r="Y67" s="4"/>
      <c r="Z67" s="4"/>
      <c r="AA67" s="3"/>
      <c r="AB67" s="3" t="s">
        <v>1009</v>
      </c>
      <c r="AC67" s="3">
        <v>930000</v>
      </c>
      <c r="AD67" s="380"/>
      <c r="AE67" s="380"/>
      <c r="AF67" s="4"/>
      <c r="AG67" s="4"/>
      <c r="AH67" s="4"/>
      <c r="AI67" s="4"/>
      <c r="AJ67" s="4"/>
      <c r="AK67" s="4"/>
      <c r="AL67" s="435"/>
      <c r="AM67" s="4">
        <v>0</v>
      </c>
      <c r="AN67" s="4">
        <v>2000000</v>
      </c>
      <c r="AO67" s="4"/>
      <c r="AP67" s="4">
        <v>0</v>
      </c>
      <c r="AQ67" s="4"/>
      <c r="AR67" s="4"/>
      <c r="AS67" s="4"/>
      <c r="AT67" s="4"/>
      <c r="AU67" s="4"/>
      <c r="AV67" s="4">
        <f t="shared" si="6"/>
        <v>0</v>
      </c>
      <c r="AW67" s="4"/>
      <c r="AX67" s="4"/>
      <c r="AY67" s="4"/>
      <c r="AZ67" s="4"/>
    </row>
    <row r="68" spans="1:59" ht="31.95" customHeight="1">
      <c r="A68" s="3">
        <f t="shared" si="5"/>
        <v>64</v>
      </c>
      <c r="B68" s="28">
        <v>2136</v>
      </c>
      <c r="C68" s="3" t="s">
        <v>409</v>
      </c>
      <c r="D68" s="4">
        <v>55226</v>
      </c>
      <c r="E68" s="4">
        <v>55226</v>
      </c>
      <c r="F68" s="4">
        <f t="shared" si="0"/>
        <v>0</v>
      </c>
      <c r="G68" s="4">
        <v>55226</v>
      </c>
      <c r="H68" s="4">
        <v>55226</v>
      </c>
      <c r="I68" s="4">
        <v>0</v>
      </c>
      <c r="J68" s="4">
        <v>0</v>
      </c>
      <c r="K68" s="4">
        <f>I68+J68</f>
        <v>0</v>
      </c>
      <c r="L68" s="4">
        <f>H68+K68</f>
        <v>55226</v>
      </c>
      <c r="M68" s="4">
        <f t="shared" si="7"/>
        <v>0</v>
      </c>
      <c r="N68" s="4"/>
      <c r="O68" s="4">
        <f t="shared" si="2"/>
        <v>0</v>
      </c>
      <c r="P68" s="4">
        <f t="shared" si="3"/>
        <v>0</v>
      </c>
      <c r="Q68" s="4"/>
      <c r="R68" s="4"/>
      <c r="S68" s="4">
        <f t="shared" si="4"/>
        <v>0</v>
      </c>
      <c r="T68" s="4">
        <v>0</v>
      </c>
      <c r="U68" s="4">
        <v>0</v>
      </c>
      <c r="V68" s="4"/>
      <c r="W68" s="154">
        <v>0</v>
      </c>
      <c r="X68" s="4"/>
      <c r="Y68" s="4"/>
      <c r="Z68" s="4"/>
      <c r="AA68" s="4"/>
      <c r="AB68" s="3" t="s">
        <v>632</v>
      </c>
      <c r="AC68" s="3">
        <v>747000</v>
      </c>
      <c r="AD68" s="380"/>
      <c r="AE68" s="380"/>
      <c r="AF68" s="4"/>
      <c r="AG68" s="4"/>
      <c r="AH68" s="4"/>
      <c r="AI68" s="4"/>
      <c r="AJ68" s="4"/>
      <c r="AK68" s="4"/>
      <c r="AL68" s="435"/>
      <c r="AM68" s="4">
        <v>0</v>
      </c>
      <c r="AN68" s="4">
        <v>0</v>
      </c>
      <c r="AO68" s="4"/>
      <c r="AP68" s="4">
        <v>0</v>
      </c>
      <c r="AQ68" s="4"/>
      <c r="AR68" s="4"/>
      <c r="AS68" s="4"/>
      <c r="AT68" s="4"/>
      <c r="AU68" s="4"/>
      <c r="AV68" s="4">
        <f t="shared" si="6"/>
        <v>0</v>
      </c>
      <c r="AW68" s="4"/>
      <c r="AX68" s="4"/>
      <c r="AY68" s="4"/>
      <c r="AZ68" s="4"/>
    </row>
    <row r="69" spans="1:59" ht="31.95" customHeight="1">
      <c r="A69" s="3">
        <f t="shared" si="5"/>
        <v>65</v>
      </c>
      <c r="B69" s="28">
        <v>2137</v>
      </c>
      <c r="C69" s="3" t="s">
        <v>410</v>
      </c>
      <c r="D69" s="4">
        <v>50000</v>
      </c>
      <c r="E69" s="4">
        <v>50000</v>
      </c>
      <c r="F69" s="4">
        <f t="shared" ref="F69:F126" si="10">D69-E69</f>
        <v>0</v>
      </c>
      <c r="G69" s="4">
        <v>50000</v>
      </c>
      <c r="H69" s="4">
        <v>5664</v>
      </c>
      <c r="I69" s="4">
        <v>0</v>
      </c>
      <c r="J69" s="4">
        <v>34515</v>
      </c>
      <c r="K69" s="4">
        <f>I69+J69</f>
        <v>34515</v>
      </c>
      <c r="L69" s="4">
        <f>H69+K69</f>
        <v>40179</v>
      </c>
      <c r="M69" s="4">
        <f t="shared" si="7"/>
        <v>9821</v>
      </c>
      <c r="N69" s="4"/>
      <c r="O69" s="4">
        <f t="shared" ref="O69:O126" si="11">D69-L69-M69-N69</f>
        <v>0</v>
      </c>
      <c r="P69" s="4">
        <f t="shared" ref="P69:P119" si="12">G69-L69</f>
        <v>9821</v>
      </c>
      <c r="Q69" s="4"/>
      <c r="R69" s="4"/>
      <c r="S69" s="4">
        <f t="shared" ref="S69:S98" si="13">SUM(Q69:R69)</f>
        <v>0</v>
      </c>
      <c r="T69" s="4">
        <v>0</v>
      </c>
      <c r="U69" s="4">
        <v>0</v>
      </c>
      <c r="V69" s="4"/>
      <c r="W69" s="154">
        <v>0</v>
      </c>
      <c r="X69" s="4"/>
      <c r="Y69" s="4"/>
      <c r="Z69" s="4"/>
      <c r="AA69" s="4"/>
      <c r="AB69" s="3" t="s">
        <v>633</v>
      </c>
      <c r="AC69" s="3">
        <v>747000</v>
      </c>
      <c r="AD69" s="380"/>
      <c r="AE69" s="380"/>
      <c r="AF69" s="4"/>
      <c r="AG69" s="4"/>
      <c r="AH69" s="4"/>
      <c r="AI69" s="4"/>
      <c r="AJ69" s="4"/>
      <c r="AK69" s="4"/>
      <c r="AL69" s="435"/>
      <c r="AM69" s="4">
        <v>0</v>
      </c>
      <c r="AN69" s="4">
        <v>0</v>
      </c>
      <c r="AO69" s="4"/>
      <c r="AP69" s="4">
        <v>0</v>
      </c>
      <c r="AQ69" s="4"/>
      <c r="AR69" s="4"/>
      <c r="AS69" s="4"/>
      <c r="AT69" s="4"/>
      <c r="AU69" s="4"/>
      <c r="AV69" s="4">
        <f t="shared" si="6"/>
        <v>0</v>
      </c>
      <c r="AW69" s="4"/>
      <c r="AX69" s="4"/>
      <c r="AY69" s="4"/>
      <c r="AZ69" s="4"/>
    </row>
    <row r="70" spans="1:59" ht="31.95" customHeight="1">
      <c r="A70" s="3">
        <f t="shared" ref="A70:A126" si="14">A69+1</f>
        <v>66</v>
      </c>
      <c r="B70" s="28">
        <v>2138</v>
      </c>
      <c r="C70" s="3" t="s">
        <v>411</v>
      </c>
      <c r="D70" s="4">
        <v>80000</v>
      </c>
      <c r="E70" s="4">
        <v>80000</v>
      </c>
      <c r="F70" s="4">
        <f t="shared" si="10"/>
        <v>0</v>
      </c>
      <c r="G70" s="4">
        <v>80000</v>
      </c>
      <c r="H70" s="4">
        <v>0</v>
      </c>
      <c r="I70" s="4">
        <v>0</v>
      </c>
      <c r="J70" s="4">
        <v>79750</v>
      </c>
      <c r="K70" s="4">
        <f>I70+J70</f>
        <v>79750</v>
      </c>
      <c r="L70" s="4">
        <f>H70+K70</f>
        <v>79750</v>
      </c>
      <c r="M70" s="4">
        <f t="shared" si="7"/>
        <v>250</v>
      </c>
      <c r="N70" s="4"/>
      <c r="O70" s="4">
        <f t="shared" si="11"/>
        <v>0</v>
      </c>
      <c r="P70" s="4">
        <f t="shared" si="12"/>
        <v>250</v>
      </c>
      <c r="Q70" s="4"/>
      <c r="R70" s="4"/>
      <c r="S70" s="4">
        <f t="shared" si="13"/>
        <v>0</v>
      </c>
      <c r="T70" s="4">
        <v>0</v>
      </c>
      <c r="U70" s="4">
        <v>0</v>
      </c>
      <c r="V70" s="4"/>
      <c r="W70" s="154">
        <v>0</v>
      </c>
      <c r="X70" s="4"/>
      <c r="Y70" s="4"/>
      <c r="Z70" s="4"/>
      <c r="AA70" s="4"/>
      <c r="AB70" s="3" t="s">
        <v>633</v>
      </c>
      <c r="AC70" s="3">
        <v>747000</v>
      </c>
      <c r="AD70" s="380"/>
      <c r="AE70" s="380"/>
      <c r="AF70" s="4"/>
      <c r="AG70" s="4"/>
      <c r="AH70" s="4"/>
      <c r="AI70" s="4"/>
      <c r="AJ70" s="4"/>
      <c r="AK70" s="4"/>
      <c r="AL70" s="435"/>
      <c r="AM70" s="4">
        <v>0</v>
      </c>
      <c r="AN70" s="4">
        <v>0</v>
      </c>
      <c r="AO70" s="4"/>
      <c r="AP70" s="4">
        <v>0</v>
      </c>
      <c r="AQ70" s="4"/>
      <c r="AR70" s="4"/>
      <c r="AS70" s="4"/>
      <c r="AT70" s="4"/>
      <c r="AU70" s="4"/>
      <c r="AV70" s="4">
        <f t="shared" ref="AV70:AV126" si="15">AL70-AU70-AZ70</f>
        <v>0</v>
      </c>
      <c r="AW70" s="4"/>
      <c r="AX70" s="4"/>
      <c r="AY70" s="4"/>
      <c r="AZ70" s="4"/>
    </row>
    <row r="71" spans="1:59" ht="31.95" customHeight="1">
      <c r="A71" s="3">
        <f t="shared" si="14"/>
        <v>67</v>
      </c>
      <c r="B71" s="3">
        <v>2140</v>
      </c>
      <c r="C71" s="3" t="s">
        <v>486</v>
      </c>
      <c r="D71" s="4">
        <v>360000</v>
      </c>
      <c r="E71" s="4">
        <v>360000</v>
      </c>
      <c r="F71" s="4">
        <f t="shared" si="10"/>
        <v>0</v>
      </c>
      <c r="G71" s="4">
        <v>360000</v>
      </c>
      <c r="H71" s="4">
        <v>283122</v>
      </c>
      <c r="I71" s="4">
        <v>0</v>
      </c>
      <c r="J71" s="4">
        <v>0</v>
      </c>
      <c r="K71" s="4">
        <f>SUM(I71:J71)</f>
        <v>0</v>
      </c>
      <c r="L71" s="4">
        <f>K71+H71</f>
        <v>283122</v>
      </c>
      <c r="M71" s="4">
        <f t="shared" si="7"/>
        <v>76878</v>
      </c>
      <c r="N71" s="4"/>
      <c r="O71" s="4">
        <f t="shared" si="11"/>
        <v>0</v>
      </c>
      <c r="P71" s="4">
        <f t="shared" si="12"/>
        <v>76878</v>
      </c>
      <c r="Q71" s="4"/>
      <c r="R71" s="4"/>
      <c r="S71" s="4">
        <f t="shared" si="13"/>
        <v>0</v>
      </c>
      <c r="T71" s="4">
        <v>0</v>
      </c>
      <c r="U71" s="4">
        <v>0</v>
      </c>
      <c r="V71" s="4"/>
      <c r="W71" s="4">
        <v>0</v>
      </c>
      <c r="X71" s="4"/>
      <c r="Y71" s="4"/>
      <c r="Z71" s="4"/>
      <c r="AA71" s="3"/>
      <c r="AB71" s="3" t="s">
        <v>507</v>
      </c>
      <c r="AC71" s="3">
        <v>810000</v>
      </c>
      <c r="AD71" s="380"/>
      <c r="AE71" s="380"/>
      <c r="AF71" s="4"/>
      <c r="AG71" s="4"/>
      <c r="AH71" s="4"/>
      <c r="AI71" s="4"/>
      <c r="AJ71" s="4"/>
      <c r="AK71" s="4"/>
      <c r="AL71" s="435"/>
      <c r="AM71" s="4">
        <v>0</v>
      </c>
      <c r="AN71" s="4">
        <v>0</v>
      </c>
      <c r="AO71" s="4"/>
      <c r="AP71" s="4">
        <v>0</v>
      </c>
      <c r="AQ71" s="4"/>
      <c r="AR71" s="4"/>
      <c r="AS71" s="4"/>
      <c r="AT71" s="4"/>
      <c r="AU71" s="4"/>
      <c r="AV71" s="4">
        <f t="shared" si="15"/>
        <v>0</v>
      </c>
      <c r="AW71" s="4"/>
      <c r="AX71" s="4"/>
      <c r="AY71" s="4"/>
      <c r="AZ71" s="4"/>
    </row>
    <row r="72" spans="1:59" ht="31.95" customHeight="1">
      <c r="A72" s="3">
        <f t="shared" si="14"/>
        <v>68</v>
      </c>
      <c r="B72" s="3">
        <v>2154</v>
      </c>
      <c r="C72" s="3" t="s">
        <v>487</v>
      </c>
      <c r="D72" s="4">
        <v>10500000</v>
      </c>
      <c r="E72" s="4">
        <v>10500000</v>
      </c>
      <c r="F72" s="4">
        <f t="shared" si="10"/>
        <v>0</v>
      </c>
      <c r="G72" s="4">
        <v>750000</v>
      </c>
      <c r="H72" s="4">
        <v>65899</v>
      </c>
      <c r="I72" s="4">
        <v>0</v>
      </c>
      <c r="J72" s="4">
        <v>129959</v>
      </c>
      <c r="K72" s="4">
        <f>SUM(I72:J72)</f>
        <v>129959</v>
      </c>
      <c r="L72" s="4">
        <f>K72+H72</f>
        <v>195858</v>
      </c>
      <c r="M72" s="4">
        <f t="shared" si="7"/>
        <v>2304142</v>
      </c>
      <c r="N72" s="4">
        <f>500000-500000</f>
        <v>0</v>
      </c>
      <c r="O72" s="4">
        <f t="shared" si="11"/>
        <v>8000000</v>
      </c>
      <c r="P72" s="4">
        <f t="shared" si="12"/>
        <v>554142</v>
      </c>
      <c r="Q72" s="4">
        <v>1750000</v>
      </c>
      <c r="R72" s="4"/>
      <c r="S72" s="4">
        <f t="shared" si="13"/>
        <v>1750000</v>
      </c>
      <c r="T72" s="4">
        <v>0</v>
      </c>
      <c r="U72" s="4">
        <v>0</v>
      </c>
      <c r="V72" s="4"/>
      <c r="W72" s="4">
        <v>0</v>
      </c>
      <c r="X72" s="4"/>
      <c r="Y72" s="4"/>
      <c r="Z72" s="4"/>
      <c r="AA72" s="4"/>
      <c r="AB72" s="3" t="s">
        <v>429</v>
      </c>
      <c r="AC72" s="3">
        <v>870000</v>
      </c>
      <c r="AD72" s="380"/>
      <c r="AE72" s="4"/>
      <c r="AF72" s="4"/>
      <c r="AG72" s="4"/>
      <c r="AH72" s="4"/>
      <c r="AI72" s="4"/>
      <c r="AJ72" s="4"/>
      <c r="AK72" s="4"/>
      <c r="AL72" s="435"/>
      <c r="AM72" s="4">
        <v>0</v>
      </c>
      <c r="AN72" s="4">
        <v>0</v>
      </c>
      <c r="AO72" s="4"/>
      <c r="AP72" s="4">
        <v>0</v>
      </c>
      <c r="AQ72" s="4"/>
      <c r="AR72" s="4"/>
      <c r="AS72" s="4"/>
      <c r="AT72" s="4"/>
      <c r="AU72" s="4"/>
      <c r="AV72" s="4">
        <f t="shared" si="15"/>
        <v>0</v>
      </c>
      <c r="AW72" s="4"/>
      <c r="AX72" s="4"/>
      <c r="AY72" s="4"/>
      <c r="AZ72" s="4"/>
    </row>
    <row r="73" spans="1:59" ht="31.95" customHeight="1">
      <c r="A73" s="3">
        <f t="shared" si="14"/>
        <v>69</v>
      </c>
      <c r="B73" s="3">
        <v>2155</v>
      </c>
      <c r="C73" s="3" t="s">
        <v>1222</v>
      </c>
      <c r="D73" s="4">
        <v>700000</v>
      </c>
      <c r="E73" s="4">
        <v>700000</v>
      </c>
      <c r="F73" s="4">
        <f t="shared" si="10"/>
        <v>0</v>
      </c>
      <c r="G73" s="4">
        <v>0</v>
      </c>
      <c r="H73" s="4">
        <v>0</v>
      </c>
      <c r="I73" s="4">
        <v>0</v>
      </c>
      <c r="J73" s="4">
        <v>0</v>
      </c>
      <c r="K73" s="4">
        <f>SUM(I73:J73)</f>
        <v>0</v>
      </c>
      <c r="L73" s="4">
        <f>K73+H73</f>
        <v>0</v>
      </c>
      <c r="M73" s="4">
        <f t="shared" si="7"/>
        <v>0</v>
      </c>
      <c r="N73" s="4">
        <f>700000-700000</f>
        <v>0</v>
      </c>
      <c r="O73" s="4">
        <f t="shared" si="11"/>
        <v>700000</v>
      </c>
      <c r="P73" s="4">
        <f t="shared" si="12"/>
        <v>0</v>
      </c>
      <c r="Q73" s="4"/>
      <c r="R73" s="4"/>
      <c r="S73" s="4">
        <f t="shared" si="13"/>
        <v>0</v>
      </c>
      <c r="T73" s="4">
        <v>0</v>
      </c>
      <c r="U73" s="4">
        <v>0</v>
      </c>
      <c r="V73" s="4"/>
      <c r="W73" s="4">
        <v>0</v>
      </c>
      <c r="X73" s="4"/>
      <c r="Y73" s="4"/>
      <c r="Z73" s="4"/>
      <c r="AA73" s="3"/>
      <c r="AB73" s="3" t="s">
        <v>430</v>
      </c>
      <c r="AC73" s="3">
        <v>746000</v>
      </c>
      <c r="AD73" s="380"/>
      <c r="AE73" s="4"/>
      <c r="AF73" s="4"/>
      <c r="AG73" s="4"/>
      <c r="AH73" s="4"/>
      <c r="AI73" s="4"/>
      <c r="AJ73" s="4"/>
      <c r="AK73" s="4"/>
      <c r="AL73" s="435"/>
      <c r="AM73" s="4">
        <v>0</v>
      </c>
      <c r="AN73" s="4">
        <v>0</v>
      </c>
      <c r="AO73" s="4"/>
      <c r="AP73" s="4">
        <v>0</v>
      </c>
      <c r="AQ73" s="4"/>
      <c r="AR73" s="4"/>
      <c r="AS73" s="4"/>
      <c r="AT73" s="4"/>
      <c r="AU73" s="4"/>
      <c r="AV73" s="4">
        <f t="shared" si="15"/>
        <v>0</v>
      </c>
      <c r="AW73" s="4"/>
      <c r="AX73" s="4"/>
      <c r="AY73" s="4"/>
      <c r="AZ73" s="4"/>
    </row>
    <row r="74" spans="1:59" s="357" customFormat="1" ht="31.95" customHeight="1">
      <c r="A74" s="3">
        <f t="shared" si="14"/>
        <v>70</v>
      </c>
      <c r="B74" s="3">
        <v>2156</v>
      </c>
      <c r="C74" s="3" t="s">
        <v>431</v>
      </c>
      <c r="D74" s="4">
        <v>1600000</v>
      </c>
      <c r="E74" s="4">
        <v>1600000</v>
      </c>
      <c r="F74" s="4">
        <f t="shared" si="10"/>
        <v>0</v>
      </c>
      <c r="G74" s="4">
        <v>400000</v>
      </c>
      <c r="H74" s="4">
        <v>23556</v>
      </c>
      <c r="I74" s="4">
        <v>0</v>
      </c>
      <c r="J74" s="4">
        <v>5976</v>
      </c>
      <c r="K74" s="4">
        <f>SUM(I74:J74)</f>
        <v>5976</v>
      </c>
      <c r="L74" s="4">
        <f>K74+H74</f>
        <v>29532</v>
      </c>
      <c r="M74" s="4">
        <f t="shared" si="7"/>
        <v>370468</v>
      </c>
      <c r="N74" s="4">
        <f>750000-250000</f>
        <v>500000</v>
      </c>
      <c r="O74" s="4">
        <f t="shared" si="11"/>
        <v>700000</v>
      </c>
      <c r="P74" s="4">
        <f t="shared" si="12"/>
        <v>370468</v>
      </c>
      <c r="Q74" s="4"/>
      <c r="R74" s="4"/>
      <c r="S74" s="4">
        <f t="shared" si="13"/>
        <v>0</v>
      </c>
      <c r="T74" s="4">
        <v>0</v>
      </c>
      <c r="U74" s="4">
        <v>500000</v>
      </c>
      <c r="V74" s="4"/>
      <c r="W74" s="4">
        <v>500000</v>
      </c>
      <c r="X74" s="4"/>
      <c r="Y74" s="4"/>
      <c r="Z74" s="4"/>
      <c r="AA74" s="3"/>
      <c r="AB74" s="3" t="s">
        <v>708</v>
      </c>
      <c r="AC74" s="3">
        <v>720000</v>
      </c>
      <c r="AD74" s="380"/>
      <c r="AE74" s="4"/>
      <c r="AF74" s="4">
        <v>100000</v>
      </c>
      <c r="AG74" s="4"/>
      <c r="AH74" s="4"/>
      <c r="AI74" s="4"/>
      <c r="AJ74" s="4">
        <v>200000</v>
      </c>
      <c r="AK74" s="4"/>
      <c r="AL74" s="435">
        <v>0</v>
      </c>
      <c r="AM74" s="4">
        <v>300000</v>
      </c>
      <c r="AN74" s="4">
        <v>200000</v>
      </c>
      <c r="AO74" s="4"/>
      <c r="AP74" s="4">
        <v>300000</v>
      </c>
      <c r="AQ74" s="4"/>
      <c r="AR74" s="4"/>
      <c r="AS74" s="4"/>
      <c r="AT74" s="4"/>
      <c r="AU74" s="4"/>
      <c r="AV74" s="4">
        <f t="shared" si="15"/>
        <v>0</v>
      </c>
      <c r="AW74" s="4"/>
      <c r="AX74" s="4"/>
      <c r="AY74" s="4"/>
      <c r="AZ74" s="4"/>
      <c r="BA74" s="372"/>
      <c r="BB74" s="372"/>
      <c r="BC74" s="372"/>
      <c r="BD74" s="372"/>
      <c r="BE74" s="372"/>
      <c r="BF74" s="372"/>
      <c r="BG74" s="372"/>
    </row>
    <row r="75" spans="1:59" ht="31.95" customHeight="1">
      <c r="A75" s="3">
        <f t="shared" si="14"/>
        <v>71</v>
      </c>
      <c r="B75" s="3">
        <v>2157</v>
      </c>
      <c r="C75" s="3" t="s">
        <v>488</v>
      </c>
      <c r="D75" s="4">
        <v>5200000</v>
      </c>
      <c r="E75" s="4">
        <v>5200000</v>
      </c>
      <c r="F75" s="4">
        <f t="shared" si="10"/>
        <v>0</v>
      </c>
      <c r="G75" s="4">
        <v>150000</v>
      </c>
      <c r="H75" s="4">
        <v>0</v>
      </c>
      <c r="I75" s="4">
        <v>0</v>
      </c>
      <c r="J75" s="4">
        <v>0</v>
      </c>
      <c r="K75" s="4">
        <f>SUM(I75:J75)</f>
        <v>0</v>
      </c>
      <c r="L75" s="4">
        <f>K75+H75</f>
        <v>0</v>
      </c>
      <c r="M75" s="4">
        <f t="shared" si="7"/>
        <v>150000</v>
      </c>
      <c r="N75" s="4">
        <f>1050000-550000</f>
        <v>500000</v>
      </c>
      <c r="O75" s="4">
        <f t="shared" si="11"/>
        <v>4550000</v>
      </c>
      <c r="P75" s="4">
        <f t="shared" si="12"/>
        <v>150000</v>
      </c>
      <c r="Q75" s="4"/>
      <c r="R75" s="4"/>
      <c r="S75" s="4">
        <f t="shared" si="13"/>
        <v>0</v>
      </c>
      <c r="T75" s="4">
        <v>0</v>
      </c>
      <c r="U75" s="4">
        <v>500000</v>
      </c>
      <c r="V75" s="4"/>
      <c r="W75" s="4">
        <v>500000</v>
      </c>
      <c r="X75" s="4"/>
      <c r="Y75" s="4"/>
      <c r="Z75" s="4"/>
      <c r="AA75" s="3"/>
      <c r="AB75" s="3" t="s">
        <v>466</v>
      </c>
      <c r="AC75" s="3">
        <v>810000</v>
      </c>
      <c r="AD75" s="380"/>
      <c r="AE75" s="4"/>
      <c r="AF75" s="4"/>
      <c r="AG75" s="4">
        <v>250000</v>
      </c>
      <c r="AH75" s="4"/>
      <c r="AI75" s="4"/>
      <c r="AJ75" s="4"/>
      <c r="AK75" s="4">
        <v>-250000</v>
      </c>
      <c r="AL75" s="435"/>
      <c r="AM75" s="4">
        <v>0</v>
      </c>
      <c r="AN75" s="4">
        <v>500000</v>
      </c>
      <c r="AO75" s="4"/>
      <c r="AP75" s="4">
        <v>0</v>
      </c>
      <c r="AQ75" s="4"/>
      <c r="AR75" s="4"/>
      <c r="AS75" s="4"/>
      <c r="AT75" s="4"/>
      <c r="AU75" s="4"/>
      <c r="AV75" s="4">
        <f t="shared" si="15"/>
        <v>0</v>
      </c>
      <c r="AW75" s="4"/>
      <c r="AX75" s="4"/>
      <c r="AY75" s="4"/>
      <c r="AZ75" s="4"/>
    </row>
    <row r="76" spans="1:59" ht="31.95" customHeight="1">
      <c r="A76" s="3">
        <f t="shared" si="14"/>
        <v>72</v>
      </c>
      <c r="B76" s="28">
        <v>2164</v>
      </c>
      <c r="C76" s="3" t="s">
        <v>1351</v>
      </c>
      <c r="D76" s="4">
        <v>300000</v>
      </c>
      <c r="E76" s="4">
        <v>300000</v>
      </c>
      <c r="F76" s="4">
        <f t="shared" si="10"/>
        <v>0</v>
      </c>
      <c r="G76" s="4">
        <f>300000</f>
        <v>300000</v>
      </c>
      <c r="H76" s="4">
        <v>0</v>
      </c>
      <c r="I76" s="4">
        <v>0</v>
      </c>
      <c r="J76" s="4">
        <v>0</v>
      </c>
      <c r="K76" s="4">
        <f>I76+J76</f>
        <v>0</v>
      </c>
      <c r="L76" s="4">
        <f>H76+K76</f>
        <v>0</v>
      </c>
      <c r="M76" s="4">
        <f t="shared" si="7"/>
        <v>300000</v>
      </c>
      <c r="N76" s="4"/>
      <c r="O76" s="4">
        <f t="shared" si="11"/>
        <v>0</v>
      </c>
      <c r="P76" s="4">
        <f t="shared" si="12"/>
        <v>300000</v>
      </c>
      <c r="Q76" s="4"/>
      <c r="R76" s="4">
        <f>300000-300000</f>
        <v>0</v>
      </c>
      <c r="S76" s="4">
        <f t="shared" si="13"/>
        <v>0</v>
      </c>
      <c r="T76" s="4">
        <v>0</v>
      </c>
      <c r="U76" s="4">
        <v>0</v>
      </c>
      <c r="V76" s="4"/>
      <c r="W76" s="154">
        <v>0</v>
      </c>
      <c r="X76" s="4"/>
      <c r="Y76" s="4"/>
      <c r="Z76" s="4"/>
      <c r="AA76" s="4"/>
      <c r="AB76" s="3" t="s">
        <v>440</v>
      </c>
      <c r="AC76" s="3">
        <v>742000</v>
      </c>
      <c r="AD76" s="380"/>
      <c r="AE76" s="4"/>
      <c r="AF76" s="4"/>
      <c r="AG76" s="4"/>
      <c r="AH76" s="4"/>
      <c r="AI76" s="4"/>
      <c r="AJ76" s="4"/>
      <c r="AK76" s="4"/>
      <c r="AL76" s="435"/>
      <c r="AM76" s="4">
        <v>0</v>
      </c>
      <c r="AN76" s="4">
        <v>0</v>
      </c>
      <c r="AO76" s="4"/>
      <c r="AP76" s="4">
        <v>0</v>
      </c>
      <c r="AQ76" s="4"/>
      <c r="AR76" s="4"/>
      <c r="AS76" s="4"/>
      <c r="AT76" s="4"/>
      <c r="AU76" s="4"/>
      <c r="AV76" s="4">
        <f t="shared" si="15"/>
        <v>0</v>
      </c>
      <c r="AW76" s="4"/>
      <c r="AX76" s="4"/>
      <c r="AY76" s="4"/>
      <c r="AZ76" s="4"/>
    </row>
    <row r="77" spans="1:59" s="383" customFormat="1" ht="31.95" customHeight="1">
      <c r="A77" s="3">
        <f t="shared" si="14"/>
        <v>73</v>
      </c>
      <c r="B77" s="28">
        <v>2165</v>
      </c>
      <c r="C77" s="3" t="s">
        <v>709</v>
      </c>
      <c r="D77" s="4">
        <f>24072000+28000-23060000</f>
        <v>1040000</v>
      </c>
      <c r="E77" s="4">
        <v>1040000</v>
      </c>
      <c r="F77" s="4">
        <f t="shared" si="10"/>
        <v>0</v>
      </c>
      <c r="G77" s="4">
        <v>0</v>
      </c>
      <c r="H77" s="4">
        <v>0</v>
      </c>
      <c r="I77" s="4">
        <v>0</v>
      </c>
      <c r="J77" s="4">
        <v>0</v>
      </c>
      <c r="K77" s="4">
        <f>I77+J77</f>
        <v>0</v>
      </c>
      <c r="L77" s="4">
        <f>H77+K77</f>
        <v>0</v>
      </c>
      <c r="M77" s="4">
        <f t="shared" si="7"/>
        <v>0</v>
      </c>
      <c r="N77" s="4">
        <f>4000000-4000000</f>
        <v>0</v>
      </c>
      <c r="O77" s="4">
        <f t="shared" si="11"/>
        <v>1040000</v>
      </c>
      <c r="P77" s="4">
        <f t="shared" si="12"/>
        <v>0</v>
      </c>
      <c r="Q77" s="4"/>
      <c r="R77" s="4"/>
      <c r="S77" s="4">
        <f t="shared" si="13"/>
        <v>0</v>
      </c>
      <c r="T77" s="4">
        <v>0</v>
      </c>
      <c r="U77" s="4">
        <v>0</v>
      </c>
      <c r="V77" s="4"/>
      <c r="W77" s="154">
        <v>0</v>
      </c>
      <c r="X77" s="4"/>
      <c r="Y77" s="4"/>
      <c r="Z77" s="4"/>
      <c r="AA77" s="4"/>
      <c r="AB77" s="3" t="s">
        <v>1010</v>
      </c>
      <c r="AC77" s="3">
        <v>746000</v>
      </c>
      <c r="AD77" s="380"/>
      <c r="AE77" s="4"/>
      <c r="AF77" s="4"/>
      <c r="AG77" s="4"/>
      <c r="AH77" s="4"/>
      <c r="AI77" s="4"/>
      <c r="AJ77" s="4"/>
      <c r="AK77" s="4"/>
      <c r="AL77" s="435"/>
      <c r="AM77" s="4">
        <v>0</v>
      </c>
      <c r="AN77" s="4">
        <v>0</v>
      </c>
      <c r="AO77" s="4"/>
      <c r="AP77" s="4">
        <v>0</v>
      </c>
      <c r="AQ77" s="4"/>
      <c r="AR77" s="4"/>
      <c r="AS77" s="4"/>
      <c r="AT77" s="4"/>
      <c r="AU77" s="4"/>
      <c r="AV77" s="4">
        <f t="shared" si="15"/>
        <v>0</v>
      </c>
      <c r="AW77" s="4"/>
      <c r="AX77" s="4"/>
      <c r="AY77" s="4"/>
      <c r="AZ77" s="4"/>
      <c r="BA77" s="372"/>
      <c r="BB77" s="372"/>
      <c r="BC77" s="372"/>
      <c r="BD77" s="372"/>
      <c r="BE77" s="372"/>
      <c r="BF77" s="372"/>
      <c r="BG77" s="372"/>
    </row>
    <row r="78" spans="1:59" ht="31.95" customHeight="1">
      <c r="A78" s="3">
        <f t="shared" si="14"/>
        <v>74</v>
      </c>
      <c r="B78" s="28">
        <v>2166</v>
      </c>
      <c r="C78" s="3" t="s">
        <v>441</v>
      </c>
      <c r="D78" s="4">
        <v>500000</v>
      </c>
      <c r="E78" s="4">
        <v>500000</v>
      </c>
      <c r="F78" s="4">
        <f t="shared" si="10"/>
        <v>0</v>
      </c>
      <c r="G78" s="4">
        <v>0</v>
      </c>
      <c r="H78" s="4">
        <v>0</v>
      </c>
      <c r="I78" s="4">
        <v>0</v>
      </c>
      <c r="J78" s="4">
        <v>0</v>
      </c>
      <c r="K78" s="4">
        <f>I78+J78</f>
        <v>0</v>
      </c>
      <c r="L78" s="4">
        <f>H78+K78</f>
        <v>0</v>
      </c>
      <c r="M78" s="4">
        <f t="shared" si="7"/>
        <v>0</v>
      </c>
      <c r="N78" s="4">
        <v>500000</v>
      </c>
      <c r="O78" s="4">
        <f t="shared" si="11"/>
        <v>0</v>
      </c>
      <c r="P78" s="4">
        <f t="shared" si="12"/>
        <v>0</v>
      </c>
      <c r="Q78" s="4"/>
      <c r="R78" s="4"/>
      <c r="S78" s="4">
        <f t="shared" si="13"/>
        <v>0</v>
      </c>
      <c r="T78" s="4">
        <v>0</v>
      </c>
      <c r="U78" s="4">
        <v>500000</v>
      </c>
      <c r="V78" s="4"/>
      <c r="W78" s="154">
        <v>500000</v>
      </c>
      <c r="X78" s="4"/>
      <c r="Y78" s="4"/>
      <c r="Z78" s="4"/>
      <c r="AA78" s="4"/>
      <c r="AB78" s="3" t="s">
        <v>827</v>
      </c>
      <c r="AC78" s="3">
        <v>746000</v>
      </c>
      <c r="AD78" s="380"/>
      <c r="AE78" s="4">
        <v>100000</v>
      </c>
      <c r="AF78" s="4"/>
      <c r="AG78" s="4"/>
      <c r="AH78" s="4"/>
      <c r="AI78" s="4"/>
      <c r="AJ78" s="4"/>
      <c r="AK78" s="4"/>
      <c r="AL78" s="435"/>
      <c r="AM78" s="4">
        <v>100000</v>
      </c>
      <c r="AN78" s="4">
        <v>400000</v>
      </c>
      <c r="AO78" s="4"/>
      <c r="AP78" s="4">
        <v>100000</v>
      </c>
      <c r="AQ78" s="4"/>
      <c r="AR78" s="4"/>
      <c r="AS78" s="4"/>
      <c r="AT78" s="4"/>
      <c r="AU78" s="4"/>
      <c r="AV78" s="4">
        <f t="shared" si="15"/>
        <v>0</v>
      </c>
      <c r="AW78" s="4"/>
      <c r="AX78" s="4"/>
      <c r="AY78" s="4"/>
      <c r="AZ78" s="4"/>
    </row>
    <row r="79" spans="1:59" ht="31.95" customHeight="1">
      <c r="A79" s="3">
        <f t="shared" si="14"/>
        <v>75</v>
      </c>
      <c r="B79" s="28">
        <v>2167</v>
      </c>
      <c r="C79" s="3" t="s">
        <v>442</v>
      </c>
      <c r="D79" s="4">
        <v>1400000</v>
      </c>
      <c r="E79" s="4">
        <v>1400000</v>
      </c>
      <c r="F79" s="4">
        <f t="shared" si="10"/>
        <v>0</v>
      </c>
      <c r="G79" s="4">
        <v>100000</v>
      </c>
      <c r="H79" s="4">
        <v>0</v>
      </c>
      <c r="I79" s="4">
        <v>0</v>
      </c>
      <c r="J79" s="4">
        <v>0</v>
      </c>
      <c r="K79" s="4">
        <f>I79+J79</f>
        <v>0</v>
      </c>
      <c r="L79" s="4">
        <f>H79+K79</f>
        <v>0</v>
      </c>
      <c r="M79" s="4">
        <f t="shared" si="7"/>
        <v>100000</v>
      </c>
      <c r="N79" s="4">
        <v>270000</v>
      </c>
      <c r="O79" s="4">
        <f t="shared" si="11"/>
        <v>1030000</v>
      </c>
      <c r="P79" s="4">
        <f t="shared" si="12"/>
        <v>100000</v>
      </c>
      <c r="Q79" s="4"/>
      <c r="R79" s="4"/>
      <c r="S79" s="4">
        <f t="shared" si="13"/>
        <v>0</v>
      </c>
      <c r="T79" s="4">
        <v>0</v>
      </c>
      <c r="U79" s="4">
        <v>270000</v>
      </c>
      <c r="V79" s="4"/>
      <c r="W79" s="154">
        <v>270000</v>
      </c>
      <c r="X79" s="4"/>
      <c r="Y79" s="4"/>
      <c r="Z79" s="4"/>
      <c r="AA79" s="4"/>
      <c r="AB79" s="3" t="s">
        <v>828</v>
      </c>
      <c r="AC79" s="3">
        <v>742000</v>
      </c>
      <c r="AD79" s="380"/>
      <c r="AE79" s="4">
        <v>100000</v>
      </c>
      <c r="AF79" s="4"/>
      <c r="AG79" s="4"/>
      <c r="AH79" s="4"/>
      <c r="AI79" s="4"/>
      <c r="AJ79" s="4"/>
      <c r="AK79" s="4"/>
      <c r="AL79" s="435"/>
      <c r="AM79" s="4">
        <v>100000</v>
      </c>
      <c r="AN79" s="4">
        <v>170000</v>
      </c>
      <c r="AO79" s="4"/>
      <c r="AP79" s="4">
        <v>100000</v>
      </c>
      <c r="AQ79" s="4"/>
      <c r="AR79" s="4"/>
      <c r="AS79" s="4"/>
      <c r="AT79" s="4"/>
      <c r="AU79" s="4"/>
      <c r="AV79" s="4">
        <f t="shared" si="15"/>
        <v>0</v>
      </c>
      <c r="AW79" s="4"/>
      <c r="AX79" s="4"/>
      <c r="AY79" s="4"/>
      <c r="AZ79" s="4"/>
      <c r="BA79" s="489"/>
    </row>
    <row r="80" spans="1:59" ht="31.95" customHeight="1">
      <c r="A80" s="3">
        <f t="shared" si="14"/>
        <v>76</v>
      </c>
      <c r="B80" s="28">
        <v>2168</v>
      </c>
      <c r="C80" s="3" t="s">
        <v>443</v>
      </c>
      <c r="D80" s="4">
        <f>240000-140000</f>
        <v>100000</v>
      </c>
      <c r="E80" s="4">
        <v>240000</v>
      </c>
      <c r="F80" s="4">
        <f t="shared" si="10"/>
        <v>-140000</v>
      </c>
      <c r="G80" s="4">
        <v>100000</v>
      </c>
      <c r="H80" s="4">
        <v>0</v>
      </c>
      <c r="I80" s="4">
        <v>0</v>
      </c>
      <c r="J80" s="4">
        <v>0</v>
      </c>
      <c r="K80" s="4">
        <f>I80+J80</f>
        <v>0</v>
      </c>
      <c r="L80" s="4">
        <f>H80+K80</f>
        <v>0</v>
      </c>
      <c r="M80" s="4">
        <f t="shared" si="7"/>
        <v>100000</v>
      </c>
      <c r="N80" s="4">
        <f>80000-80000</f>
        <v>0</v>
      </c>
      <c r="O80" s="4">
        <f t="shared" si="11"/>
        <v>0</v>
      </c>
      <c r="P80" s="4">
        <f t="shared" si="12"/>
        <v>100000</v>
      </c>
      <c r="Q80" s="4"/>
      <c r="R80" s="4"/>
      <c r="S80" s="4">
        <f t="shared" si="13"/>
        <v>0</v>
      </c>
      <c r="T80" s="4">
        <v>0</v>
      </c>
      <c r="U80" s="231">
        <v>0</v>
      </c>
      <c r="V80" s="4"/>
      <c r="W80" s="154">
        <v>0</v>
      </c>
      <c r="X80" s="4"/>
      <c r="Y80" s="4"/>
      <c r="Z80" s="4"/>
      <c r="AA80" s="4"/>
      <c r="AB80" s="3" t="s">
        <v>599</v>
      </c>
      <c r="AC80" s="3">
        <v>746000</v>
      </c>
      <c r="AD80" s="380"/>
      <c r="AE80" s="380"/>
      <c r="AF80" s="4"/>
      <c r="AG80" s="4"/>
      <c r="AH80" s="4"/>
      <c r="AI80" s="4"/>
      <c r="AJ80" s="4"/>
      <c r="AK80" s="4"/>
      <c r="AL80" s="435"/>
      <c r="AM80" s="4">
        <v>0</v>
      </c>
      <c r="AN80" s="4">
        <v>0</v>
      </c>
      <c r="AO80" s="4"/>
      <c r="AP80" s="4">
        <v>0</v>
      </c>
      <c r="AQ80" s="4"/>
      <c r="AR80" s="4"/>
      <c r="AS80" s="4"/>
      <c r="AT80" s="4"/>
      <c r="AU80" s="4"/>
      <c r="AV80" s="4">
        <f t="shared" si="15"/>
        <v>0</v>
      </c>
      <c r="AW80" s="4"/>
      <c r="AX80" s="4"/>
      <c r="AY80" s="4"/>
      <c r="AZ80" s="4"/>
    </row>
    <row r="81" spans="1:59" ht="31.95" customHeight="1">
      <c r="A81" s="3">
        <f t="shared" si="14"/>
        <v>77</v>
      </c>
      <c r="B81" s="3">
        <v>2177</v>
      </c>
      <c r="C81" s="3" t="s">
        <v>675</v>
      </c>
      <c r="D81" s="4">
        <v>12500000</v>
      </c>
      <c r="E81" s="4">
        <f>9500000+2000000+1000000</f>
        <v>12500000</v>
      </c>
      <c r="F81" s="4">
        <f t="shared" si="10"/>
        <v>0</v>
      </c>
      <c r="G81" s="4">
        <f>9500000+2000000</f>
        <v>11500000</v>
      </c>
      <c r="H81" s="4">
        <v>4466072</v>
      </c>
      <c r="I81" s="4">
        <v>254817</v>
      </c>
      <c r="J81" s="4">
        <v>6637456</v>
      </c>
      <c r="K81" s="4">
        <f>SUM(I81:J81)</f>
        <v>6892273</v>
      </c>
      <c r="L81" s="4">
        <f>K81+H81</f>
        <v>11358345</v>
      </c>
      <c r="M81" s="4">
        <f t="shared" si="7"/>
        <v>1141655</v>
      </c>
      <c r="N81" s="4"/>
      <c r="O81" s="4">
        <f t="shared" si="11"/>
        <v>0</v>
      </c>
      <c r="P81" s="4">
        <f t="shared" si="12"/>
        <v>141655</v>
      </c>
      <c r="Q81" s="4"/>
      <c r="R81" s="4">
        <f>3000000-2000000</f>
        <v>1000000</v>
      </c>
      <c r="S81" s="4">
        <f t="shared" si="13"/>
        <v>1000000</v>
      </c>
      <c r="T81" s="4">
        <v>0</v>
      </c>
      <c r="U81" s="4">
        <v>0</v>
      </c>
      <c r="V81" s="4"/>
      <c r="W81" s="4">
        <v>0</v>
      </c>
      <c r="X81" s="4"/>
      <c r="Y81" s="4"/>
      <c r="Z81" s="4"/>
      <c r="AA81" s="3"/>
      <c r="AB81" s="3" t="s">
        <v>829</v>
      </c>
      <c r="AC81" s="3">
        <v>810000</v>
      </c>
      <c r="AD81" s="380"/>
      <c r="AE81" s="380"/>
      <c r="AF81" s="4"/>
      <c r="AG81" s="4"/>
      <c r="AH81" s="4"/>
      <c r="AI81" s="4"/>
      <c r="AJ81" s="4"/>
      <c r="AK81" s="4"/>
      <c r="AL81" s="435"/>
      <c r="AM81" s="4">
        <v>0</v>
      </c>
      <c r="AN81" s="4">
        <v>0</v>
      </c>
      <c r="AO81" s="4"/>
      <c r="AP81" s="4">
        <v>0</v>
      </c>
      <c r="AQ81" s="4"/>
      <c r="AR81" s="4"/>
      <c r="AS81" s="4"/>
      <c r="AT81" s="4"/>
      <c r="AU81" s="4"/>
      <c r="AV81" s="4">
        <f t="shared" si="15"/>
        <v>0</v>
      </c>
      <c r="AW81" s="4"/>
      <c r="AX81" s="4"/>
      <c r="AY81" s="4"/>
      <c r="AZ81" s="4"/>
    </row>
    <row r="82" spans="1:59" ht="31.95" customHeight="1">
      <c r="A82" s="3">
        <f t="shared" si="14"/>
        <v>78</v>
      </c>
      <c r="B82" s="3">
        <v>2178</v>
      </c>
      <c r="C82" s="3" t="s">
        <v>489</v>
      </c>
      <c r="D82" s="4">
        <f>3100000-1000000</f>
        <v>2100000</v>
      </c>
      <c r="E82" s="4">
        <f>3100000-1000000</f>
        <v>2100000</v>
      </c>
      <c r="F82" s="4">
        <f t="shared" si="10"/>
        <v>0</v>
      </c>
      <c r="G82" s="4">
        <v>3100000</v>
      </c>
      <c r="H82" s="4">
        <v>1415462</v>
      </c>
      <c r="I82" s="4">
        <v>159611</v>
      </c>
      <c r="J82" s="4">
        <v>311123</v>
      </c>
      <c r="K82" s="4">
        <f>SUM(I82:J82)</f>
        <v>470734</v>
      </c>
      <c r="L82" s="4">
        <f>K82+H82</f>
        <v>1886196</v>
      </c>
      <c r="M82" s="4">
        <f t="shared" si="7"/>
        <v>213804</v>
      </c>
      <c r="N82" s="4"/>
      <c r="O82" s="4">
        <f t="shared" si="11"/>
        <v>0</v>
      </c>
      <c r="P82" s="4">
        <f t="shared" si="12"/>
        <v>1213804</v>
      </c>
      <c r="Q82" s="4"/>
      <c r="R82" s="4">
        <v>-1000000</v>
      </c>
      <c r="S82" s="4">
        <f t="shared" si="13"/>
        <v>-1000000</v>
      </c>
      <c r="T82" s="4">
        <v>0</v>
      </c>
      <c r="U82" s="4">
        <v>0</v>
      </c>
      <c r="V82" s="4">
        <v>-210000</v>
      </c>
      <c r="W82" s="4">
        <v>0</v>
      </c>
      <c r="X82" s="4"/>
      <c r="Y82" s="4"/>
      <c r="Z82" s="4"/>
      <c r="AA82" s="4">
        <v>210000</v>
      </c>
      <c r="AB82" s="3" t="s">
        <v>1011</v>
      </c>
      <c r="AC82" s="3">
        <v>810000</v>
      </c>
      <c r="AD82" s="380"/>
      <c r="AE82" s="4"/>
      <c r="AF82" s="4"/>
      <c r="AG82" s="390"/>
      <c r="AH82" s="4"/>
      <c r="AI82" s="4"/>
      <c r="AJ82" s="4"/>
      <c r="AK82" s="4"/>
      <c r="AL82" s="435"/>
      <c r="AM82" s="4">
        <v>0</v>
      </c>
      <c r="AN82" s="4">
        <v>0</v>
      </c>
      <c r="AO82" s="4">
        <v>-210000</v>
      </c>
      <c r="AP82" s="4">
        <v>0</v>
      </c>
      <c r="AQ82" s="4"/>
      <c r="AR82" s="4"/>
      <c r="AS82" s="4"/>
      <c r="AT82" s="4">
        <v>210000</v>
      </c>
      <c r="AU82" s="4"/>
      <c r="AV82" s="4">
        <f t="shared" si="15"/>
        <v>0</v>
      </c>
      <c r="AW82" s="4"/>
      <c r="AX82" s="4"/>
      <c r="AY82" s="4"/>
      <c r="AZ82" s="4"/>
    </row>
    <row r="83" spans="1:59" ht="31.95" customHeight="1">
      <c r="A83" s="3">
        <f t="shared" si="14"/>
        <v>79</v>
      </c>
      <c r="B83" s="28">
        <v>2181</v>
      </c>
      <c r="C83" s="3" t="s">
        <v>491</v>
      </c>
      <c r="D83" s="4">
        <v>1259000</v>
      </c>
      <c r="E83" s="4">
        <v>1259000</v>
      </c>
      <c r="F83" s="4">
        <f t="shared" si="10"/>
        <v>0</v>
      </c>
      <c r="G83" s="4">
        <v>1259000</v>
      </c>
      <c r="H83" s="4">
        <v>1191759</v>
      </c>
      <c r="I83" s="4">
        <v>0</v>
      </c>
      <c r="J83" s="4">
        <v>0</v>
      </c>
      <c r="K83" s="4">
        <f>I83+J83</f>
        <v>0</v>
      </c>
      <c r="L83" s="4">
        <f>H83+K83</f>
        <v>1191759</v>
      </c>
      <c r="M83" s="4">
        <f t="shared" si="7"/>
        <v>67241</v>
      </c>
      <c r="N83" s="4"/>
      <c r="O83" s="4">
        <f t="shared" si="11"/>
        <v>0</v>
      </c>
      <c r="P83" s="4">
        <f t="shared" si="12"/>
        <v>67241</v>
      </c>
      <c r="Q83" s="4"/>
      <c r="R83" s="4"/>
      <c r="S83" s="4">
        <f t="shared" si="13"/>
        <v>0</v>
      </c>
      <c r="T83" s="4">
        <v>0</v>
      </c>
      <c r="U83" s="4">
        <v>0</v>
      </c>
      <c r="V83" s="4"/>
      <c r="W83" s="154">
        <v>0</v>
      </c>
      <c r="X83" s="4"/>
      <c r="Y83" s="4"/>
      <c r="Z83" s="4"/>
      <c r="AA83" s="4"/>
      <c r="AB83" s="3" t="s">
        <v>523</v>
      </c>
      <c r="AC83" s="3">
        <v>747000</v>
      </c>
      <c r="AD83" s="380"/>
      <c r="AE83" s="4"/>
      <c r="AF83" s="4"/>
      <c r="AG83" s="4"/>
      <c r="AH83" s="4"/>
      <c r="AI83" s="4"/>
      <c r="AJ83" s="4"/>
      <c r="AK83" s="4"/>
      <c r="AL83" s="435"/>
      <c r="AM83" s="4">
        <v>0</v>
      </c>
      <c r="AN83" s="4">
        <v>0</v>
      </c>
      <c r="AO83" s="4"/>
      <c r="AP83" s="4">
        <v>0</v>
      </c>
      <c r="AQ83" s="4"/>
      <c r="AR83" s="4"/>
      <c r="AS83" s="4"/>
      <c r="AT83" s="4"/>
      <c r="AU83" s="4"/>
      <c r="AV83" s="4">
        <f t="shared" si="15"/>
        <v>0</v>
      </c>
      <c r="AW83" s="4"/>
      <c r="AX83" s="4"/>
      <c r="AY83" s="4"/>
      <c r="AZ83" s="4"/>
    </row>
    <row r="84" spans="1:59" ht="31.95" customHeight="1">
      <c r="A84" s="3">
        <f t="shared" si="14"/>
        <v>80</v>
      </c>
      <c r="B84" s="3">
        <v>2184</v>
      </c>
      <c r="C84" s="3" t="s">
        <v>1345</v>
      </c>
      <c r="D84" s="4">
        <f>3000000-820000</f>
        <v>2180000</v>
      </c>
      <c r="E84" s="4">
        <v>2180000</v>
      </c>
      <c r="F84" s="4">
        <f t="shared" si="10"/>
        <v>0</v>
      </c>
      <c r="G84" s="4">
        <v>560000</v>
      </c>
      <c r="H84" s="4">
        <v>38078</v>
      </c>
      <c r="I84" s="4">
        <v>0</v>
      </c>
      <c r="J84" s="4">
        <v>5354</v>
      </c>
      <c r="K84" s="4">
        <f t="shared" ref="K84:K102" si="16">SUM(I84:J84)</f>
        <v>5354</v>
      </c>
      <c r="L84" s="4">
        <f t="shared" ref="L84:L89" si="17">K84+H84</f>
        <v>43432</v>
      </c>
      <c r="M84" s="4">
        <f t="shared" si="7"/>
        <v>516568</v>
      </c>
      <c r="N84" s="4">
        <f>2440000-2440000</f>
        <v>0</v>
      </c>
      <c r="O84" s="4">
        <f t="shared" si="11"/>
        <v>1620000</v>
      </c>
      <c r="P84" s="4">
        <f t="shared" si="12"/>
        <v>516568</v>
      </c>
      <c r="Q84" s="4"/>
      <c r="R84" s="4"/>
      <c r="S84" s="4">
        <f t="shared" si="13"/>
        <v>0</v>
      </c>
      <c r="T84" s="4">
        <v>0</v>
      </c>
      <c r="U84" s="4">
        <v>0</v>
      </c>
      <c r="V84" s="4"/>
      <c r="W84" s="4">
        <v>0</v>
      </c>
      <c r="X84" s="4"/>
      <c r="Y84" s="4"/>
      <c r="Z84" s="4"/>
      <c r="AA84" s="3"/>
      <c r="AB84" s="3" t="s">
        <v>596</v>
      </c>
      <c r="AC84" s="3">
        <v>930000</v>
      </c>
      <c r="AD84" s="380"/>
      <c r="AE84" s="4"/>
      <c r="AF84" s="4"/>
      <c r="AG84" s="4"/>
      <c r="AH84" s="4"/>
      <c r="AI84" s="4"/>
      <c r="AJ84" s="4"/>
      <c r="AK84" s="4"/>
      <c r="AL84" s="435"/>
      <c r="AM84" s="4">
        <v>0</v>
      </c>
      <c r="AN84" s="4">
        <v>0</v>
      </c>
      <c r="AO84" s="4"/>
      <c r="AP84" s="4">
        <v>0</v>
      </c>
      <c r="AQ84" s="4"/>
      <c r="AR84" s="4"/>
      <c r="AS84" s="4"/>
      <c r="AT84" s="4"/>
      <c r="AU84" s="4"/>
      <c r="AV84" s="4">
        <f t="shared" si="15"/>
        <v>0</v>
      </c>
      <c r="AW84" s="4"/>
      <c r="AX84" s="4"/>
      <c r="AY84" s="4"/>
      <c r="AZ84" s="4"/>
    </row>
    <row r="85" spans="1:59" ht="31.95" customHeight="1">
      <c r="A85" s="3">
        <f t="shared" si="14"/>
        <v>81</v>
      </c>
      <c r="B85" s="3">
        <v>2187</v>
      </c>
      <c r="C85" s="3" t="s">
        <v>505</v>
      </c>
      <c r="D85" s="4">
        <f>9100000+2000000+500000-1000000</f>
        <v>10600000</v>
      </c>
      <c r="E85" s="4">
        <v>9100000</v>
      </c>
      <c r="F85" s="4">
        <f t="shared" si="10"/>
        <v>1500000</v>
      </c>
      <c r="G85" s="4">
        <v>9100000</v>
      </c>
      <c r="H85" s="4">
        <v>3736923</v>
      </c>
      <c r="I85" s="4">
        <v>4756370</v>
      </c>
      <c r="J85" s="4">
        <v>606586</v>
      </c>
      <c r="K85" s="4">
        <f t="shared" si="16"/>
        <v>5362956</v>
      </c>
      <c r="L85" s="4">
        <f t="shared" si="17"/>
        <v>9099879</v>
      </c>
      <c r="M85" s="4">
        <f t="shared" si="7"/>
        <v>121</v>
      </c>
      <c r="N85" s="4">
        <f>2500000-1000000</f>
        <v>1500000</v>
      </c>
      <c r="O85" s="4">
        <f t="shared" si="11"/>
        <v>0</v>
      </c>
      <c r="P85" s="4">
        <f t="shared" si="12"/>
        <v>121</v>
      </c>
      <c r="Q85" s="4"/>
      <c r="R85" s="4"/>
      <c r="S85" s="4">
        <f t="shared" si="13"/>
        <v>0</v>
      </c>
      <c r="T85" s="4">
        <v>0</v>
      </c>
      <c r="U85" s="4">
        <v>1500000</v>
      </c>
      <c r="V85" s="4">
        <v>1500000</v>
      </c>
      <c r="W85" s="4">
        <v>0</v>
      </c>
      <c r="X85" s="4"/>
      <c r="Y85" s="4"/>
      <c r="Z85" s="4"/>
      <c r="AA85" s="3"/>
      <c r="AB85" s="3" t="s">
        <v>506</v>
      </c>
      <c r="AC85" s="3">
        <v>810000</v>
      </c>
      <c r="AD85" s="380"/>
      <c r="AE85" s="4">
        <v>1500000</v>
      </c>
      <c r="AF85" s="4"/>
      <c r="AG85" s="4"/>
      <c r="AH85" s="4"/>
      <c r="AI85" s="4"/>
      <c r="AJ85" s="4"/>
      <c r="AK85" s="4"/>
      <c r="AL85" s="435"/>
      <c r="AM85" s="4">
        <v>1500000</v>
      </c>
      <c r="AN85" s="4">
        <v>0</v>
      </c>
      <c r="AO85" s="4">
        <v>1500000</v>
      </c>
      <c r="AP85" s="4">
        <v>0</v>
      </c>
      <c r="AQ85" s="4"/>
      <c r="AR85" s="4"/>
      <c r="AS85" s="4"/>
      <c r="AT85" s="4"/>
      <c r="AU85" s="4"/>
      <c r="AV85" s="4">
        <f t="shared" si="15"/>
        <v>0</v>
      </c>
      <c r="AW85" s="4"/>
      <c r="AX85" s="4"/>
      <c r="AY85" s="4"/>
      <c r="AZ85" s="4"/>
    </row>
    <row r="86" spans="1:59" s="374" customFormat="1" ht="31.95" customHeight="1">
      <c r="A86" s="3">
        <f t="shared" si="14"/>
        <v>82</v>
      </c>
      <c r="B86" s="230">
        <v>2211</v>
      </c>
      <c r="C86" s="3" t="s">
        <v>1012</v>
      </c>
      <c r="D86" s="4">
        <v>800000</v>
      </c>
      <c r="E86" s="426">
        <v>800000</v>
      </c>
      <c r="F86" s="4">
        <f t="shared" si="10"/>
        <v>0</v>
      </c>
      <c r="G86" s="426">
        <v>800000</v>
      </c>
      <c r="H86" s="426">
        <v>0</v>
      </c>
      <c r="I86" s="426">
        <v>442254</v>
      </c>
      <c r="J86" s="426">
        <v>57166</v>
      </c>
      <c r="K86" s="4">
        <f t="shared" si="16"/>
        <v>499420</v>
      </c>
      <c r="L86" s="4">
        <f t="shared" si="17"/>
        <v>499420</v>
      </c>
      <c r="M86" s="4">
        <f t="shared" si="7"/>
        <v>300580</v>
      </c>
      <c r="N86" s="4"/>
      <c r="O86" s="4">
        <f t="shared" si="11"/>
        <v>0</v>
      </c>
      <c r="P86" s="4">
        <f t="shared" si="12"/>
        <v>300580</v>
      </c>
      <c r="Q86" s="426"/>
      <c r="R86" s="426"/>
      <c r="S86" s="4">
        <f t="shared" si="13"/>
        <v>0</v>
      </c>
      <c r="T86" s="4">
        <v>0</v>
      </c>
      <c r="U86" s="4">
        <v>0</v>
      </c>
      <c r="V86" s="4"/>
      <c r="W86" s="4">
        <v>0</v>
      </c>
      <c r="X86" s="230"/>
      <c r="Y86" s="230"/>
      <c r="Z86" s="230"/>
      <c r="AA86" s="230"/>
      <c r="AB86" s="3" t="s">
        <v>859</v>
      </c>
      <c r="AC86" s="3">
        <v>810000</v>
      </c>
      <c r="AD86" s="378"/>
      <c r="AE86" s="4"/>
      <c r="AF86" s="4"/>
      <c r="AG86" s="4"/>
      <c r="AH86" s="4"/>
      <c r="AI86" s="4"/>
      <c r="AJ86" s="4"/>
      <c r="AK86" s="4"/>
      <c r="AL86" s="435"/>
      <c r="AM86" s="4">
        <v>0</v>
      </c>
      <c r="AN86" s="4">
        <v>0</v>
      </c>
      <c r="AO86" s="4"/>
      <c r="AP86" s="4">
        <v>0</v>
      </c>
      <c r="AQ86" s="4"/>
      <c r="AR86" s="4"/>
      <c r="AS86" s="4"/>
      <c r="AT86" s="4"/>
      <c r="AU86" s="4"/>
      <c r="AV86" s="4">
        <f t="shared" si="15"/>
        <v>0</v>
      </c>
      <c r="AW86" s="4"/>
      <c r="AX86" s="4"/>
      <c r="AY86" s="4"/>
      <c r="AZ86" s="4"/>
      <c r="BA86" s="373"/>
      <c r="BB86" s="373"/>
      <c r="BC86" s="373"/>
      <c r="BD86" s="373"/>
      <c r="BE86" s="373"/>
      <c r="BF86" s="373"/>
      <c r="BG86" s="373"/>
    </row>
    <row r="87" spans="1:59" ht="31.95" customHeight="1">
      <c r="A87" s="3">
        <f t="shared" si="14"/>
        <v>83</v>
      </c>
      <c r="B87" s="230">
        <v>2212</v>
      </c>
      <c r="C87" s="3" t="s">
        <v>1223</v>
      </c>
      <c r="D87" s="4">
        <v>8000000</v>
      </c>
      <c r="E87" s="4">
        <v>8000000</v>
      </c>
      <c r="F87" s="4">
        <f t="shared" si="10"/>
        <v>0</v>
      </c>
      <c r="G87" s="491">
        <v>1000000</v>
      </c>
      <c r="H87" s="491">
        <v>1586</v>
      </c>
      <c r="I87" s="491">
        <v>0</v>
      </c>
      <c r="J87" s="491">
        <v>300000</v>
      </c>
      <c r="K87" s="4">
        <f t="shared" si="16"/>
        <v>300000</v>
      </c>
      <c r="L87" s="4">
        <f t="shared" si="17"/>
        <v>301586</v>
      </c>
      <c r="M87" s="4">
        <f t="shared" si="7"/>
        <v>698414</v>
      </c>
      <c r="N87" s="4">
        <f>300000-300000</f>
        <v>0</v>
      </c>
      <c r="O87" s="4">
        <f t="shared" si="11"/>
        <v>7000000</v>
      </c>
      <c r="P87" s="4">
        <f t="shared" si="12"/>
        <v>698414</v>
      </c>
      <c r="Q87" s="18"/>
      <c r="R87" s="4"/>
      <c r="S87" s="4">
        <f t="shared" si="13"/>
        <v>0</v>
      </c>
      <c r="T87" s="4">
        <v>0</v>
      </c>
      <c r="U87" s="4">
        <v>0</v>
      </c>
      <c r="V87" s="4"/>
      <c r="W87" s="4">
        <v>0</v>
      </c>
      <c r="X87" s="4"/>
      <c r="Y87" s="4"/>
      <c r="Z87" s="4"/>
      <c r="AA87" s="4"/>
      <c r="AB87" s="3" t="s">
        <v>1013</v>
      </c>
      <c r="AC87" s="3">
        <v>810000</v>
      </c>
      <c r="AD87" s="380"/>
      <c r="AE87" s="380"/>
      <c r="AF87" s="4"/>
      <c r="AG87" s="4"/>
      <c r="AH87" s="4"/>
      <c r="AI87" s="4"/>
      <c r="AJ87" s="4"/>
      <c r="AK87" s="4"/>
      <c r="AL87" s="435"/>
      <c r="AM87" s="4">
        <v>0</v>
      </c>
      <c r="AN87" s="4">
        <v>0</v>
      </c>
      <c r="AO87" s="4"/>
      <c r="AP87" s="4">
        <v>0</v>
      </c>
      <c r="AQ87" s="4"/>
      <c r="AR87" s="4"/>
      <c r="AS87" s="4"/>
      <c r="AT87" s="4"/>
      <c r="AU87" s="4"/>
      <c r="AV87" s="4">
        <f t="shared" si="15"/>
        <v>0</v>
      </c>
      <c r="AW87" s="4"/>
      <c r="AX87" s="4"/>
      <c r="AY87" s="4"/>
      <c r="AZ87" s="4"/>
    </row>
    <row r="88" spans="1:59" ht="31.95" customHeight="1">
      <c r="A88" s="3">
        <f t="shared" si="14"/>
        <v>84</v>
      </c>
      <c r="B88" s="230">
        <v>2214</v>
      </c>
      <c r="C88" s="3" t="s">
        <v>509</v>
      </c>
      <c r="D88" s="4">
        <v>200000</v>
      </c>
      <c r="E88" s="4">
        <v>200000</v>
      </c>
      <c r="F88" s="4">
        <f t="shared" si="10"/>
        <v>0</v>
      </c>
      <c r="G88" s="18">
        <v>200000</v>
      </c>
      <c r="H88" s="18">
        <v>26395</v>
      </c>
      <c r="I88" s="18">
        <v>0</v>
      </c>
      <c r="J88" s="18">
        <v>33474</v>
      </c>
      <c r="K88" s="4">
        <f t="shared" si="16"/>
        <v>33474</v>
      </c>
      <c r="L88" s="4">
        <f t="shared" si="17"/>
        <v>59869</v>
      </c>
      <c r="M88" s="4">
        <f t="shared" si="7"/>
        <v>140131</v>
      </c>
      <c r="N88" s="4"/>
      <c r="O88" s="4">
        <f t="shared" si="11"/>
        <v>0</v>
      </c>
      <c r="P88" s="4">
        <f t="shared" si="12"/>
        <v>140131</v>
      </c>
      <c r="Q88" s="18"/>
      <c r="R88" s="18"/>
      <c r="S88" s="4">
        <f t="shared" si="13"/>
        <v>0</v>
      </c>
      <c r="T88" s="4">
        <v>0</v>
      </c>
      <c r="U88" s="4">
        <v>0</v>
      </c>
      <c r="V88" s="4"/>
      <c r="W88" s="4">
        <v>0</v>
      </c>
      <c r="X88" s="4"/>
      <c r="Y88" s="4"/>
      <c r="Z88" s="4"/>
      <c r="AA88" s="4"/>
      <c r="AB88" s="3" t="s">
        <v>510</v>
      </c>
      <c r="AC88" s="3">
        <v>930000</v>
      </c>
      <c r="AD88" s="380"/>
      <c r="AE88" s="380"/>
      <c r="AF88" s="4"/>
      <c r="AG88" s="4"/>
      <c r="AH88" s="4"/>
      <c r="AI88" s="4"/>
      <c r="AJ88" s="4"/>
      <c r="AK88" s="4"/>
      <c r="AL88" s="435"/>
      <c r="AM88" s="4">
        <v>0</v>
      </c>
      <c r="AN88" s="4">
        <v>0</v>
      </c>
      <c r="AO88" s="4"/>
      <c r="AP88" s="4">
        <v>0</v>
      </c>
      <c r="AQ88" s="4"/>
      <c r="AR88" s="4"/>
      <c r="AS88" s="4"/>
      <c r="AT88" s="4"/>
      <c r="AU88" s="4"/>
      <c r="AV88" s="4">
        <f t="shared" si="15"/>
        <v>0</v>
      </c>
      <c r="AW88" s="4"/>
      <c r="AX88" s="4"/>
      <c r="AY88" s="4"/>
      <c r="AZ88" s="4"/>
    </row>
    <row r="89" spans="1:59" ht="31.95" customHeight="1">
      <c r="A89" s="3">
        <f t="shared" si="14"/>
        <v>85</v>
      </c>
      <c r="B89" s="230">
        <v>2215</v>
      </c>
      <c r="C89" s="3" t="s">
        <v>511</v>
      </c>
      <c r="D89" s="4">
        <v>420000</v>
      </c>
      <c r="E89" s="4">
        <v>420000</v>
      </c>
      <c r="F89" s="4">
        <f t="shared" si="10"/>
        <v>0</v>
      </c>
      <c r="G89" s="18">
        <v>420000</v>
      </c>
      <c r="H89" s="18">
        <v>243161</v>
      </c>
      <c r="I89" s="18">
        <v>0</v>
      </c>
      <c r="J89" s="18">
        <v>48330</v>
      </c>
      <c r="K89" s="4">
        <f t="shared" si="16"/>
        <v>48330</v>
      </c>
      <c r="L89" s="4">
        <f t="shared" si="17"/>
        <v>291491</v>
      </c>
      <c r="M89" s="4">
        <f t="shared" si="7"/>
        <v>128509</v>
      </c>
      <c r="N89" s="4"/>
      <c r="O89" s="4">
        <f t="shared" si="11"/>
        <v>0</v>
      </c>
      <c r="P89" s="4">
        <f t="shared" si="12"/>
        <v>128509</v>
      </c>
      <c r="Q89" s="18"/>
      <c r="R89" s="18"/>
      <c r="S89" s="4">
        <f t="shared" si="13"/>
        <v>0</v>
      </c>
      <c r="T89" s="4">
        <v>0</v>
      </c>
      <c r="U89" s="4">
        <v>0</v>
      </c>
      <c r="V89" s="4"/>
      <c r="W89" s="4">
        <v>0</v>
      </c>
      <c r="X89" s="4"/>
      <c r="Y89" s="4"/>
      <c r="Z89" s="4"/>
      <c r="AA89" s="4"/>
      <c r="AB89" s="3" t="s">
        <v>512</v>
      </c>
      <c r="AC89" s="3">
        <v>810000</v>
      </c>
      <c r="AD89" s="380"/>
      <c r="AE89" s="380"/>
      <c r="AF89" s="4"/>
      <c r="AG89" s="4"/>
      <c r="AH89" s="4"/>
      <c r="AI89" s="4"/>
      <c r="AJ89" s="4"/>
      <c r="AK89" s="4"/>
      <c r="AL89" s="435"/>
      <c r="AM89" s="4">
        <v>0</v>
      </c>
      <c r="AN89" s="4">
        <v>0</v>
      </c>
      <c r="AO89" s="4"/>
      <c r="AP89" s="4">
        <v>0</v>
      </c>
      <c r="AQ89" s="4"/>
      <c r="AR89" s="4"/>
      <c r="AS89" s="4"/>
      <c r="AT89" s="4"/>
      <c r="AU89" s="4"/>
      <c r="AV89" s="4">
        <f t="shared" si="15"/>
        <v>0</v>
      </c>
      <c r="AW89" s="4"/>
      <c r="AX89" s="4"/>
      <c r="AY89" s="4"/>
      <c r="AZ89" s="4"/>
    </row>
    <row r="90" spans="1:59" ht="31.95" customHeight="1">
      <c r="A90" s="3">
        <f t="shared" si="14"/>
        <v>86</v>
      </c>
      <c r="B90" s="28">
        <v>2216</v>
      </c>
      <c r="C90" s="3" t="s">
        <v>515</v>
      </c>
      <c r="D90" s="4">
        <v>2600000</v>
      </c>
      <c r="E90" s="4">
        <v>2600000</v>
      </c>
      <c r="F90" s="4">
        <f t="shared" si="10"/>
        <v>0</v>
      </c>
      <c r="G90" s="4">
        <v>300000</v>
      </c>
      <c r="H90" s="4">
        <v>7139</v>
      </c>
      <c r="I90" s="4">
        <v>0</v>
      </c>
      <c r="J90" s="4">
        <v>0</v>
      </c>
      <c r="K90" s="4">
        <f t="shared" si="16"/>
        <v>0</v>
      </c>
      <c r="L90" s="4">
        <f>H90+K90</f>
        <v>7139</v>
      </c>
      <c r="M90" s="4">
        <f t="shared" si="7"/>
        <v>292861</v>
      </c>
      <c r="N90" s="4">
        <f>2300000-1800000-200000</f>
        <v>300000</v>
      </c>
      <c r="O90" s="4">
        <f t="shared" si="11"/>
        <v>2000000</v>
      </c>
      <c r="P90" s="4">
        <f t="shared" si="12"/>
        <v>292861</v>
      </c>
      <c r="Q90" s="4"/>
      <c r="R90" s="4"/>
      <c r="S90" s="4">
        <f t="shared" si="13"/>
        <v>0</v>
      </c>
      <c r="T90" s="4">
        <v>0</v>
      </c>
      <c r="U90" s="4">
        <v>300000</v>
      </c>
      <c r="V90" s="4">
        <v>300000</v>
      </c>
      <c r="W90" s="4"/>
      <c r="X90" s="4"/>
      <c r="Y90" s="4"/>
      <c r="Z90" s="4"/>
      <c r="AA90" s="4"/>
      <c r="AB90" s="3" t="s">
        <v>516</v>
      </c>
      <c r="AC90" s="3">
        <v>810000</v>
      </c>
      <c r="AD90" s="380"/>
      <c r="AE90" s="380"/>
      <c r="AF90" s="4"/>
      <c r="AG90" s="4"/>
      <c r="AH90" s="4"/>
      <c r="AI90" s="4">
        <v>300000</v>
      </c>
      <c r="AJ90" s="4"/>
      <c r="AK90" s="4"/>
      <c r="AL90" s="435"/>
      <c r="AM90" s="4">
        <v>300000</v>
      </c>
      <c r="AN90" s="4">
        <v>0</v>
      </c>
      <c r="AO90" s="4">
        <v>300000</v>
      </c>
      <c r="AP90" s="4">
        <v>0</v>
      </c>
      <c r="AQ90" s="4"/>
      <c r="AR90" s="4"/>
      <c r="AS90" s="4"/>
      <c r="AT90" s="4"/>
      <c r="AU90" s="4"/>
      <c r="AV90" s="4">
        <f t="shared" si="15"/>
        <v>0</v>
      </c>
      <c r="AW90" s="4"/>
      <c r="AX90" s="4"/>
      <c r="AY90" s="4"/>
      <c r="AZ90" s="4"/>
    </row>
    <row r="91" spans="1:59" ht="31.95" customHeight="1">
      <c r="A91" s="3">
        <f t="shared" si="14"/>
        <v>87</v>
      </c>
      <c r="B91" s="28">
        <v>2221</v>
      </c>
      <c r="C91" s="3" t="s">
        <v>525</v>
      </c>
      <c r="D91" s="4">
        <v>91304</v>
      </c>
      <c r="E91" s="4">
        <v>91304</v>
      </c>
      <c r="F91" s="4">
        <f t="shared" si="10"/>
        <v>0</v>
      </c>
      <c r="G91" s="4">
        <v>91304</v>
      </c>
      <c r="H91" s="4">
        <v>0</v>
      </c>
      <c r="I91" s="4">
        <v>0</v>
      </c>
      <c r="J91" s="4">
        <v>61850</v>
      </c>
      <c r="K91" s="4">
        <f t="shared" si="16"/>
        <v>61850</v>
      </c>
      <c r="L91" s="4">
        <f>H91+K91</f>
        <v>61850</v>
      </c>
      <c r="M91" s="4">
        <f t="shared" si="7"/>
        <v>29454</v>
      </c>
      <c r="N91" s="4"/>
      <c r="O91" s="4">
        <f t="shared" si="11"/>
        <v>0</v>
      </c>
      <c r="P91" s="4">
        <f t="shared" si="12"/>
        <v>29454</v>
      </c>
      <c r="Q91" s="4"/>
      <c r="R91" s="4"/>
      <c r="S91" s="4">
        <f t="shared" si="13"/>
        <v>0</v>
      </c>
      <c r="T91" s="4">
        <v>0</v>
      </c>
      <c r="U91" s="4">
        <v>0</v>
      </c>
      <c r="V91" s="4"/>
      <c r="W91" s="154">
        <v>0</v>
      </c>
      <c r="X91" s="4"/>
      <c r="Y91" s="4"/>
      <c r="Z91" s="4"/>
      <c r="AA91" s="4"/>
      <c r="AB91" s="3" t="s">
        <v>526</v>
      </c>
      <c r="AC91" s="3">
        <v>747000</v>
      </c>
      <c r="AD91" s="380"/>
      <c r="AE91" s="380"/>
      <c r="AF91" s="4"/>
      <c r="AG91" s="4"/>
      <c r="AH91" s="4"/>
      <c r="AI91" s="4"/>
      <c r="AJ91" s="4"/>
      <c r="AK91" s="4"/>
      <c r="AL91" s="435"/>
      <c r="AM91" s="4">
        <v>0</v>
      </c>
      <c r="AN91" s="4">
        <v>0</v>
      </c>
      <c r="AO91" s="4"/>
      <c r="AP91" s="4">
        <v>0</v>
      </c>
      <c r="AQ91" s="4"/>
      <c r="AR91" s="4"/>
      <c r="AS91" s="4"/>
      <c r="AT91" s="4"/>
      <c r="AU91" s="4"/>
      <c r="AV91" s="4">
        <f t="shared" si="15"/>
        <v>0</v>
      </c>
      <c r="AW91" s="4"/>
      <c r="AX91" s="4"/>
      <c r="AY91" s="4"/>
      <c r="AZ91" s="4"/>
    </row>
    <row r="92" spans="1:59" ht="31.95" customHeight="1">
      <c r="A92" s="3">
        <f t="shared" si="14"/>
        <v>88</v>
      </c>
      <c r="B92" s="28">
        <v>2225</v>
      </c>
      <c r="C92" s="3" t="s">
        <v>511</v>
      </c>
      <c r="D92" s="4">
        <v>150000</v>
      </c>
      <c r="E92" s="4">
        <v>150000</v>
      </c>
      <c r="F92" s="4">
        <f t="shared" si="10"/>
        <v>0</v>
      </c>
      <c r="G92" s="4">
        <v>150000</v>
      </c>
      <c r="H92" s="4">
        <v>68711</v>
      </c>
      <c r="I92" s="4">
        <v>0</v>
      </c>
      <c r="J92" s="4">
        <v>0</v>
      </c>
      <c r="K92" s="4">
        <f t="shared" si="16"/>
        <v>0</v>
      </c>
      <c r="L92" s="4">
        <f>H92+K92</f>
        <v>68711</v>
      </c>
      <c r="M92" s="4">
        <f t="shared" ref="M92:M116" si="18">P92+S92</f>
        <v>81289</v>
      </c>
      <c r="N92" s="4"/>
      <c r="O92" s="4">
        <f t="shared" si="11"/>
        <v>0</v>
      </c>
      <c r="P92" s="4">
        <f t="shared" si="12"/>
        <v>81289</v>
      </c>
      <c r="Q92" s="4"/>
      <c r="R92" s="4"/>
      <c r="S92" s="4">
        <f t="shared" si="13"/>
        <v>0</v>
      </c>
      <c r="T92" s="4">
        <v>0</v>
      </c>
      <c r="U92" s="4">
        <v>0</v>
      </c>
      <c r="V92" s="4">
        <v>0</v>
      </c>
      <c r="W92" s="4"/>
      <c r="X92" s="4"/>
      <c r="Y92" s="4"/>
      <c r="Z92" s="4"/>
      <c r="AA92" s="4"/>
      <c r="AB92" s="3" t="s">
        <v>872</v>
      </c>
      <c r="AC92" s="3">
        <v>810000</v>
      </c>
      <c r="AD92" s="380"/>
      <c r="AE92" s="380"/>
      <c r="AF92" s="4"/>
      <c r="AG92" s="4"/>
      <c r="AH92" s="4"/>
      <c r="AI92" s="4"/>
      <c r="AJ92" s="4"/>
      <c r="AK92" s="4"/>
      <c r="AL92" s="435"/>
      <c r="AM92" s="4">
        <v>0</v>
      </c>
      <c r="AN92" s="4">
        <v>0</v>
      </c>
      <c r="AO92" s="4"/>
      <c r="AP92" s="4">
        <v>0</v>
      </c>
      <c r="AQ92" s="4"/>
      <c r="AR92" s="4"/>
      <c r="AS92" s="4"/>
      <c r="AT92" s="4"/>
      <c r="AU92" s="4"/>
      <c r="AV92" s="4">
        <f t="shared" si="15"/>
        <v>0</v>
      </c>
      <c r="AW92" s="4"/>
      <c r="AX92" s="4"/>
      <c r="AY92" s="4"/>
      <c r="AZ92" s="4"/>
    </row>
    <row r="93" spans="1:59" ht="31.95" customHeight="1">
      <c r="A93" s="3">
        <f t="shared" si="14"/>
        <v>89</v>
      </c>
      <c r="B93" s="28">
        <v>2226</v>
      </c>
      <c r="C93" s="3" t="s">
        <v>668</v>
      </c>
      <c r="D93" s="4">
        <v>91304</v>
      </c>
      <c r="E93" s="4">
        <v>91304</v>
      </c>
      <c r="F93" s="4">
        <f t="shared" si="10"/>
        <v>0</v>
      </c>
      <c r="G93" s="4">
        <v>91304</v>
      </c>
      <c r="H93" s="4">
        <v>0</v>
      </c>
      <c r="I93" s="4">
        <v>0</v>
      </c>
      <c r="J93" s="4">
        <v>91304</v>
      </c>
      <c r="K93" s="4">
        <f t="shared" si="16"/>
        <v>91304</v>
      </c>
      <c r="L93" s="4">
        <f>H93+K93</f>
        <v>91304</v>
      </c>
      <c r="M93" s="4">
        <f t="shared" si="18"/>
        <v>0</v>
      </c>
      <c r="N93" s="4"/>
      <c r="O93" s="4">
        <f t="shared" si="11"/>
        <v>0</v>
      </c>
      <c r="P93" s="4">
        <f t="shared" si="12"/>
        <v>0</v>
      </c>
      <c r="Q93" s="4"/>
      <c r="R93" s="4"/>
      <c r="S93" s="4">
        <f t="shared" si="13"/>
        <v>0</v>
      </c>
      <c r="T93" s="4">
        <v>0</v>
      </c>
      <c r="U93" s="4">
        <v>0</v>
      </c>
      <c r="V93" s="4"/>
      <c r="W93" s="154">
        <v>0</v>
      </c>
      <c r="X93" s="4"/>
      <c r="Y93" s="4"/>
      <c r="Z93" s="4"/>
      <c r="AA93" s="4"/>
      <c r="AB93" s="3" t="s">
        <v>526</v>
      </c>
      <c r="AC93" s="3">
        <v>747000</v>
      </c>
      <c r="AD93" s="380"/>
      <c r="AE93" s="380"/>
      <c r="AF93" s="4"/>
      <c r="AG93" s="4"/>
      <c r="AH93" s="4"/>
      <c r="AI93" s="4"/>
      <c r="AJ93" s="4"/>
      <c r="AK93" s="4"/>
      <c r="AL93" s="435"/>
      <c r="AM93" s="4">
        <v>0</v>
      </c>
      <c r="AN93" s="4">
        <v>0</v>
      </c>
      <c r="AO93" s="4"/>
      <c r="AP93" s="4">
        <v>0</v>
      </c>
      <c r="AQ93" s="4"/>
      <c r="AR93" s="4"/>
      <c r="AS93" s="4"/>
      <c r="AT93" s="4"/>
      <c r="AU93" s="4"/>
      <c r="AV93" s="4">
        <f t="shared" si="15"/>
        <v>0</v>
      </c>
      <c r="AW93" s="4"/>
      <c r="AX93" s="4"/>
      <c r="AY93" s="4"/>
      <c r="AZ93" s="4"/>
    </row>
    <row r="94" spans="1:59" ht="41.4">
      <c r="A94" s="3">
        <f t="shared" si="14"/>
        <v>90</v>
      </c>
      <c r="B94" s="28">
        <v>2228</v>
      </c>
      <c r="C94" s="3" t="s">
        <v>1224</v>
      </c>
      <c r="D94" s="4">
        <v>1700000</v>
      </c>
      <c r="E94" s="4">
        <v>1700000</v>
      </c>
      <c r="F94" s="4">
        <f t="shared" si="10"/>
        <v>0</v>
      </c>
      <c r="G94" s="4">
        <v>1700000</v>
      </c>
      <c r="H94" s="4">
        <v>806754</v>
      </c>
      <c r="I94" s="4">
        <v>0</v>
      </c>
      <c r="J94" s="4">
        <v>893179</v>
      </c>
      <c r="K94" s="4">
        <f t="shared" si="16"/>
        <v>893179</v>
      </c>
      <c r="L94" s="4">
        <f>H94+K94</f>
        <v>1699933</v>
      </c>
      <c r="M94" s="4">
        <f t="shared" si="18"/>
        <v>67</v>
      </c>
      <c r="N94" s="4"/>
      <c r="O94" s="4">
        <f t="shared" si="11"/>
        <v>0</v>
      </c>
      <c r="P94" s="4">
        <f t="shared" si="12"/>
        <v>67</v>
      </c>
      <c r="Q94" s="4"/>
      <c r="R94" s="4"/>
      <c r="S94" s="4">
        <f t="shared" si="13"/>
        <v>0</v>
      </c>
      <c r="T94" s="4">
        <v>0</v>
      </c>
      <c r="U94" s="4">
        <v>0</v>
      </c>
      <c r="V94" s="4">
        <v>0</v>
      </c>
      <c r="W94" s="4"/>
      <c r="X94" s="4"/>
      <c r="Y94" s="4"/>
      <c r="Z94" s="4"/>
      <c r="AA94" s="4"/>
      <c r="AB94" s="3" t="s">
        <v>1014</v>
      </c>
      <c r="AC94" s="3">
        <v>742000</v>
      </c>
      <c r="AD94" s="380"/>
      <c r="AE94" s="380"/>
      <c r="AF94" s="4"/>
      <c r="AG94" s="4"/>
      <c r="AH94" s="4"/>
      <c r="AI94" s="4"/>
      <c r="AJ94" s="4"/>
      <c r="AK94" s="4"/>
      <c r="AL94" s="435"/>
      <c r="AM94" s="4">
        <v>0</v>
      </c>
      <c r="AN94" s="4">
        <v>0</v>
      </c>
      <c r="AO94" s="4"/>
      <c r="AP94" s="4">
        <v>0</v>
      </c>
      <c r="AQ94" s="4"/>
      <c r="AR94" s="4"/>
      <c r="AS94" s="4"/>
      <c r="AT94" s="4"/>
      <c r="AU94" s="4"/>
      <c r="AV94" s="4">
        <f t="shared" si="15"/>
        <v>0</v>
      </c>
      <c r="AW94" s="4"/>
      <c r="AX94" s="4"/>
      <c r="AY94" s="4"/>
      <c r="AZ94" s="4"/>
    </row>
    <row r="95" spans="1:59" ht="31.95" customHeight="1">
      <c r="A95" s="3">
        <f t="shared" si="14"/>
        <v>91</v>
      </c>
      <c r="B95" s="230">
        <v>2229</v>
      </c>
      <c r="C95" s="3" t="s">
        <v>1225</v>
      </c>
      <c r="D95" s="4">
        <v>350000</v>
      </c>
      <c r="E95" s="4">
        <v>350000</v>
      </c>
      <c r="F95" s="4">
        <f t="shared" si="10"/>
        <v>0</v>
      </c>
      <c r="G95" s="18">
        <v>350000</v>
      </c>
      <c r="H95" s="18">
        <v>0</v>
      </c>
      <c r="I95" s="18">
        <v>0</v>
      </c>
      <c r="J95" s="18">
        <v>0</v>
      </c>
      <c r="K95" s="4">
        <f t="shared" si="16"/>
        <v>0</v>
      </c>
      <c r="L95" s="4">
        <f>K95+H95</f>
        <v>0</v>
      </c>
      <c r="M95" s="4">
        <f t="shared" si="18"/>
        <v>350000</v>
      </c>
      <c r="N95" s="4"/>
      <c r="O95" s="4">
        <f t="shared" si="11"/>
        <v>0</v>
      </c>
      <c r="P95" s="4">
        <f t="shared" si="12"/>
        <v>350000</v>
      </c>
      <c r="Q95" s="18"/>
      <c r="R95" s="18"/>
      <c r="S95" s="4">
        <f t="shared" si="13"/>
        <v>0</v>
      </c>
      <c r="T95" s="4">
        <v>0</v>
      </c>
      <c r="U95" s="4">
        <v>0</v>
      </c>
      <c r="V95" s="4"/>
      <c r="W95" s="4">
        <v>0</v>
      </c>
      <c r="X95" s="4"/>
      <c r="Y95" s="4"/>
      <c r="Z95" s="4"/>
      <c r="AA95" s="4"/>
      <c r="AB95" s="3" t="s">
        <v>1015</v>
      </c>
      <c r="AC95" s="3">
        <v>930000</v>
      </c>
      <c r="AD95" s="380"/>
      <c r="AE95" s="4"/>
      <c r="AF95" s="4"/>
      <c r="AG95" s="4"/>
      <c r="AH95" s="4"/>
      <c r="AI95" s="4"/>
      <c r="AJ95" s="4"/>
      <c r="AK95" s="4"/>
      <c r="AL95" s="435"/>
      <c r="AM95" s="4">
        <v>0</v>
      </c>
      <c r="AN95" s="4">
        <v>0</v>
      </c>
      <c r="AO95" s="4"/>
      <c r="AP95" s="4">
        <v>0</v>
      </c>
      <c r="AQ95" s="4"/>
      <c r="AR95" s="4"/>
      <c r="AS95" s="4"/>
      <c r="AT95" s="4"/>
      <c r="AU95" s="4"/>
      <c r="AV95" s="4">
        <f t="shared" si="15"/>
        <v>0</v>
      </c>
      <c r="AW95" s="4"/>
      <c r="AX95" s="4"/>
      <c r="AY95" s="4"/>
      <c r="AZ95" s="4"/>
    </row>
    <row r="96" spans="1:59" ht="31.95" customHeight="1">
      <c r="A96" s="3">
        <f t="shared" si="14"/>
        <v>92</v>
      </c>
      <c r="B96" s="28">
        <v>2230</v>
      </c>
      <c r="C96" s="3" t="s">
        <v>1226</v>
      </c>
      <c r="D96" s="4">
        <v>370000</v>
      </c>
      <c r="E96" s="4">
        <v>370000</v>
      </c>
      <c r="F96" s="4">
        <f t="shared" si="10"/>
        <v>0</v>
      </c>
      <c r="G96" s="4">
        <v>370000</v>
      </c>
      <c r="H96" s="4">
        <v>220393</v>
      </c>
      <c r="I96" s="4">
        <v>0</v>
      </c>
      <c r="J96" s="4">
        <v>148297</v>
      </c>
      <c r="K96" s="4">
        <f t="shared" si="16"/>
        <v>148297</v>
      </c>
      <c r="L96" s="4">
        <f t="shared" ref="L96:L102" si="19">H96+K96</f>
        <v>368690</v>
      </c>
      <c r="M96" s="4">
        <f t="shared" si="18"/>
        <v>1310</v>
      </c>
      <c r="N96" s="4"/>
      <c r="O96" s="4">
        <f t="shared" si="11"/>
        <v>0</v>
      </c>
      <c r="P96" s="4">
        <f t="shared" si="12"/>
        <v>1310</v>
      </c>
      <c r="Q96" s="4"/>
      <c r="R96" s="4"/>
      <c r="S96" s="4">
        <f t="shared" si="13"/>
        <v>0</v>
      </c>
      <c r="T96" s="4">
        <v>0</v>
      </c>
      <c r="U96" s="4">
        <v>0</v>
      </c>
      <c r="V96" s="4">
        <v>0</v>
      </c>
      <c r="W96" s="4"/>
      <c r="X96" s="4"/>
      <c r="Y96" s="4"/>
      <c r="Z96" s="4"/>
      <c r="AA96" s="4"/>
      <c r="AB96" s="3" t="s">
        <v>1016</v>
      </c>
      <c r="AC96" s="3">
        <v>840000</v>
      </c>
      <c r="AD96" s="380"/>
      <c r="AE96" s="4"/>
      <c r="AF96" s="4"/>
      <c r="AG96" s="4"/>
      <c r="AH96" s="4"/>
      <c r="AI96" s="4"/>
      <c r="AJ96" s="4"/>
      <c r="AK96" s="4"/>
      <c r="AL96" s="435"/>
      <c r="AM96" s="4">
        <v>0</v>
      </c>
      <c r="AN96" s="4">
        <v>0</v>
      </c>
      <c r="AO96" s="4"/>
      <c r="AP96" s="4">
        <v>0</v>
      </c>
      <c r="AQ96" s="4"/>
      <c r="AR96" s="4"/>
      <c r="AS96" s="4"/>
      <c r="AT96" s="4"/>
      <c r="AU96" s="4"/>
      <c r="AV96" s="4">
        <f t="shared" si="15"/>
        <v>0</v>
      </c>
      <c r="AW96" s="4"/>
      <c r="AX96" s="4"/>
      <c r="AY96" s="4"/>
      <c r="AZ96" s="4"/>
    </row>
    <row r="97" spans="1:59" ht="31.95" customHeight="1">
      <c r="A97" s="3">
        <f t="shared" si="14"/>
        <v>93</v>
      </c>
      <c r="B97" s="28">
        <v>2234</v>
      </c>
      <c r="C97" s="3" t="s">
        <v>678</v>
      </c>
      <c r="D97" s="4">
        <v>270000</v>
      </c>
      <c r="E97" s="4">
        <v>270000</v>
      </c>
      <c r="F97" s="4">
        <f t="shared" si="10"/>
        <v>0</v>
      </c>
      <c r="G97" s="4">
        <f>270000</f>
        <v>270000</v>
      </c>
      <c r="H97" s="4">
        <v>0</v>
      </c>
      <c r="I97" s="4">
        <v>0</v>
      </c>
      <c r="J97" s="4">
        <v>18552</v>
      </c>
      <c r="K97" s="4">
        <f t="shared" si="16"/>
        <v>18552</v>
      </c>
      <c r="L97" s="4">
        <f t="shared" si="19"/>
        <v>18552</v>
      </c>
      <c r="M97" s="4">
        <f t="shared" si="18"/>
        <v>251448</v>
      </c>
      <c r="N97" s="4"/>
      <c r="O97" s="4">
        <f t="shared" si="11"/>
        <v>0</v>
      </c>
      <c r="P97" s="4">
        <f t="shared" si="12"/>
        <v>251448</v>
      </c>
      <c r="Q97" s="4"/>
      <c r="R97" s="4"/>
      <c r="S97" s="4">
        <f t="shared" si="13"/>
        <v>0</v>
      </c>
      <c r="T97" s="4">
        <v>0</v>
      </c>
      <c r="U97" s="4">
        <v>0</v>
      </c>
      <c r="V97" s="4">
        <v>0</v>
      </c>
      <c r="W97" s="4"/>
      <c r="X97" s="4"/>
      <c r="Y97" s="4"/>
      <c r="Z97" s="4"/>
      <c r="AA97" s="4"/>
      <c r="AB97" s="3" t="s">
        <v>680</v>
      </c>
      <c r="AC97" s="3">
        <v>810000</v>
      </c>
      <c r="AD97" s="380"/>
      <c r="AE97" s="4"/>
      <c r="AF97" s="4"/>
      <c r="AG97" s="4"/>
      <c r="AH97" s="4"/>
      <c r="AI97" s="4"/>
      <c r="AJ97" s="4"/>
      <c r="AK97" s="4"/>
      <c r="AL97" s="435"/>
      <c r="AM97" s="4">
        <v>0</v>
      </c>
      <c r="AN97" s="4">
        <v>0</v>
      </c>
      <c r="AO97" s="4"/>
      <c r="AP97" s="4">
        <v>0</v>
      </c>
      <c r="AQ97" s="4"/>
      <c r="AR97" s="4"/>
      <c r="AS97" s="4"/>
      <c r="AT97" s="4"/>
      <c r="AU97" s="4"/>
      <c r="AV97" s="4">
        <f t="shared" si="15"/>
        <v>0</v>
      </c>
      <c r="AW97" s="4"/>
      <c r="AX97" s="4"/>
      <c r="AY97" s="4"/>
      <c r="AZ97" s="4"/>
    </row>
    <row r="98" spans="1:59" ht="31.95" customHeight="1">
      <c r="A98" s="3">
        <f t="shared" si="14"/>
        <v>94</v>
      </c>
      <c r="B98" s="28">
        <v>2235</v>
      </c>
      <c r="C98" s="3" t="s">
        <v>679</v>
      </c>
      <c r="D98" s="4">
        <v>1400000</v>
      </c>
      <c r="E98" s="4">
        <v>1400000</v>
      </c>
      <c r="F98" s="4">
        <f t="shared" si="10"/>
        <v>0</v>
      </c>
      <c r="G98" s="4">
        <f>1400000</f>
        <v>1400000</v>
      </c>
      <c r="H98" s="4">
        <v>11249</v>
      </c>
      <c r="I98" s="4">
        <v>0</v>
      </c>
      <c r="J98" s="4">
        <v>19873</v>
      </c>
      <c r="K98" s="4">
        <f t="shared" si="16"/>
        <v>19873</v>
      </c>
      <c r="L98" s="4">
        <f t="shared" si="19"/>
        <v>31122</v>
      </c>
      <c r="M98" s="4">
        <f t="shared" si="18"/>
        <v>1368878</v>
      </c>
      <c r="N98" s="4"/>
      <c r="O98" s="4">
        <f t="shared" si="11"/>
        <v>0</v>
      </c>
      <c r="P98" s="4">
        <f t="shared" si="12"/>
        <v>1368878</v>
      </c>
      <c r="Q98" s="4"/>
      <c r="R98" s="4"/>
      <c r="S98" s="4">
        <f t="shared" si="13"/>
        <v>0</v>
      </c>
      <c r="T98" s="4">
        <v>0</v>
      </c>
      <c r="U98" s="4">
        <v>0</v>
      </c>
      <c r="V98" s="4">
        <v>0</v>
      </c>
      <c r="W98" s="4"/>
      <c r="X98" s="4"/>
      <c r="Y98" s="4"/>
      <c r="Z98" s="4"/>
      <c r="AA98" s="4"/>
      <c r="AB98" s="3" t="s">
        <v>681</v>
      </c>
      <c r="AC98" s="3">
        <v>829000</v>
      </c>
      <c r="AD98" s="380"/>
      <c r="AE98" s="4"/>
      <c r="AF98" s="4"/>
      <c r="AG98" s="4"/>
      <c r="AH98" s="4"/>
      <c r="AI98" s="4"/>
      <c r="AJ98" s="4"/>
      <c r="AK98" s="4"/>
      <c r="AL98" s="435"/>
      <c r="AM98" s="4">
        <v>0</v>
      </c>
      <c r="AN98" s="4">
        <v>0</v>
      </c>
      <c r="AO98" s="4"/>
      <c r="AP98" s="4">
        <v>0</v>
      </c>
      <c r="AQ98" s="4"/>
      <c r="AR98" s="4"/>
      <c r="AS98" s="4"/>
      <c r="AT98" s="4"/>
      <c r="AU98" s="4"/>
      <c r="AV98" s="4">
        <f t="shared" si="15"/>
        <v>0</v>
      </c>
      <c r="AW98" s="4"/>
      <c r="AX98" s="4"/>
      <c r="AY98" s="4"/>
      <c r="AZ98" s="4"/>
    </row>
    <row r="99" spans="1:59" ht="31.95" customHeight="1">
      <c r="A99" s="3">
        <f t="shared" si="14"/>
        <v>95</v>
      </c>
      <c r="B99" s="28">
        <v>2236</v>
      </c>
      <c r="C99" s="3" t="s">
        <v>678</v>
      </c>
      <c r="D99" s="4">
        <f>150000+30000</f>
        <v>180000</v>
      </c>
      <c r="E99" s="4">
        <v>150000</v>
      </c>
      <c r="F99" s="4">
        <f t="shared" si="10"/>
        <v>30000</v>
      </c>
      <c r="G99" s="4">
        <v>150000</v>
      </c>
      <c r="H99" s="4">
        <v>0</v>
      </c>
      <c r="I99" s="4">
        <v>0</v>
      </c>
      <c r="J99" s="4">
        <v>4638</v>
      </c>
      <c r="K99" s="4">
        <f t="shared" si="16"/>
        <v>4638</v>
      </c>
      <c r="L99" s="4">
        <f t="shared" si="19"/>
        <v>4638</v>
      </c>
      <c r="M99" s="4">
        <f t="shared" si="18"/>
        <v>145362</v>
      </c>
      <c r="N99" s="4">
        <v>30000</v>
      </c>
      <c r="O99" s="4">
        <f t="shared" si="11"/>
        <v>0</v>
      </c>
      <c r="P99" s="4">
        <f t="shared" si="12"/>
        <v>145362</v>
      </c>
      <c r="Q99" s="4"/>
      <c r="R99" s="4"/>
      <c r="S99" s="4"/>
      <c r="T99" s="4"/>
      <c r="U99" s="4">
        <v>30000</v>
      </c>
      <c r="V99" s="4">
        <v>0</v>
      </c>
      <c r="W99" s="4"/>
      <c r="X99" s="4"/>
      <c r="Y99" s="4"/>
      <c r="Z99" s="4"/>
      <c r="AA99" s="4">
        <v>30000</v>
      </c>
      <c r="AB99" s="3" t="s">
        <v>710</v>
      </c>
      <c r="AC99" s="3">
        <v>810000</v>
      </c>
      <c r="AD99" s="380"/>
      <c r="AE99" s="4"/>
      <c r="AF99" s="4"/>
      <c r="AG99" s="4"/>
      <c r="AH99" s="4">
        <v>30000</v>
      </c>
      <c r="AI99" s="4"/>
      <c r="AJ99" s="4"/>
      <c r="AK99" s="4"/>
      <c r="AL99" s="435"/>
      <c r="AM99" s="4">
        <v>30000</v>
      </c>
      <c r="AN99" s="4">
        <v>0</v>
      </c>
      <c r="AO99" s="4"/>
      <c r="AP99" s="4">
        <v>0</v>
      </c>
      <c r="AQ99" s="4"/>
      <c r="AR99" s="4"/>
      <c r="AS99" s="4"/>
      <c r="AT99" s="4">
        <v>30000</v>
      </c>
      <c r="AU99" s="4"/>
      <c r="AV99" s="4">
        <f t="shared" si="15"/>
        <v>0</v>
      </c>
      <c r="AW99" s="4"/>
      <c r="AX99" s="4"/>
      <c r="AY99" s="4"/>
      <c r="AZ99" s="4"/>
    </row>
    <row r="100" spans="1:59" ht="31.95" customHeight="1">
      <c r="A100" s="3">
        <f t="shared" si="14"/>
        <v>96</v>
      </c>
      <c r="B100" s="28">
        <v>2237</v>
      </c>
      <c r="C100" s="3" t="s">
        <v>711</v>
      </c>
      <c r="D100" s="4">
        <v>1700000</v>
      </c>
      <c r="E100" s="4">
        <v>1700000</v>
      </c>
      <c r="F100" s="4">
        <f t="shared" si="10"/>
        <v>0</v>
      </c>
      <c r="G100" s="4">
        <v>600000</v>
      </c>
      <c r="H100" s="4">
        <v>0</v>
      </c>
      <c r="I100" s="4">
        <v>0</v>
      </c>
      <c r="J100" s="4">
        <v>0</v>
      </c>
      <c r="K100" s="4">
        <f t="shared" si="16"/>
        <v>0</v>
      </c>
      <c r="L100" s="4">
        <f t="shared" si="19"/>
        <v>0</v>
      </c>
      <c r="M100" s="4">
        <f t="shared" si="18"/>
        <v>600000</v>
      </c>
      <c r="N100" s="4">
        <v>1100000</v>
      </c>
      <c r="O100" s="4">
        <f t="shared" si="11"/>
        <v>0</v>
      </c>
      <c r="P100" s="4">
        <f t="shared" si="12"/>
        <v>600000</v>
      </c>
      <c r="Q100" s="4"/>
      <c r="R100" s="4">
        <f>1100000-1100000</f>
        <v>0</v>
      </c>
      <c r="S100" s="4"/>
      <c r="T100" s="4"/>
      <c r="U100" s="4">
        <v>1100000</v>
      </c>
      <c r="V100" s="4">
        <v>1100000</v>
      </c>
      <c r="W100" s="4"/>
      <c r="X100" s="4"/>
      <c r="Y100" s="4"/>
      <c r="Z100" s="4"/>
      <c r="AA100" s="4"/>
      <c r="AB100" s="3" t="s">
        <v>849</v>
      </c>
      <c r="AC100" s="3">
        <v>742000</v>
      </c>
      <c r="AD100" s="380"/>
      <c r="AE100" s="4"/>
      <c r="AF100" s="4"/>
      <c r="AG100" s="4"/>
      <c r="AH100" s="4"/>
      <c r="AI100" s="4">
        <v>1100000</v>
      </c>
      <c r="AJ100" s="4"/>
      <c r="AK100" s="4"/>
      <c r="AL100" s="435"/>
      <c r="AM100" s="4">
        <v>1100000</v>
      </c>
      <c r="AN100" s="4">
        <v>0</v>
      </c>
      <c r="AO100" s="4">
        <v>1100000</v>
      </c>
      <c r="AP100" s="4">
        <v>0</v>
      </c>
      <c r="AQ100" s="4"/>
      <c r="AR100" s="4"/>
      <c r="AS100" s="4"/>
      <c r="AT100" s="4"/>
      <c r="AU100" s="4"/>
      <c r="AV100" s="4">
        <f t="shared" si="15"/>
        <v>0</v>
      </c>
      <c r="AW100" s="4"/>
      <c r="AX100" s="4"/>
      <c r="AY100" s="4"/>
      <c r="AZ100" s="4"/>
    </row>
    <row r="101" spans="1:59" ht="31.95" customHeight="1">
      <c r="A101" s="3">
        <f t="shared" si="14"/>
        <v>97</v>
      </c>
      <c r="B101" s="28">
        <v>2238</v>
      </c>
      <c r="C101" s="3" t="s">
        <v>712</v>
      </c>
      <c r="D101" s="4">
        <f>3100000+2000000</f>
        <v>5100000</v>
      </c>
      <c r="E101" s="4">
        <v>3100000</v>
      </c>
      <c r="F101" s="4">
        <f t="shared" si="10"/>
        <v>2000000</v>
      </c>
      <c r="G101" s="4">
        <v>3100000</v>
      </c>
      <c r="H101" s="4">
        <v>561258</v>
      </c>
      <c r="I101" s="4">
        <v>0</v>
      </c>
      <c r="J101" s="4">
        <v>560353</v>
      </c>
      <c r="K101" s="4">
        <f t="shared" si="16"/>
        <v>560353</v>
      </c>
      <c r="L101" s="4">
        <f t="shared" si="19"/>
        <v>1121611</v>
      </c>
      <c r="M101" s="4">
        <f t="shared" si="18"/>
        <v>1978389</v>
      </c>
      <c r="N101" s="4">
        <v>2000000</v>
      </c>
      <c r="O101" s="4">
        <f t="shared" si="11"/>
        <v>0</v>
      </c>
      <c r="P101" s="4">
        <f t="shared" si="12"/>
        <v>1978389</v>
      </c>
      <c r="Q101" s="4"/>
      <c r="R101" s="4"/>
      <c r="S101" s="4"/>
      <c r="T101" s="4"/>
      <c r="U101" s="4">
        <v>2000000</v>
      </c>
      <c r="V101" s="4">
        <v>2000000</v>
      </c>
      <c r="W101" s="4"/>
      <c r="X101" s="4"/>
      <c r="Y101" s="4"/>
      <c r="Z101" s="4"/>
      <c r="AA101" s="4"/>
      <c r="AB101" s="3" t="s">
        <v>850</v>
      </c>
      <c r="AC101" s="3">
        <v>747000</v>
      </c>
      <c r="AD101" s="380"/>
      <c r="AE101" s="4"/>
      <c r="AF101" s="4"/>
      <c r="AG101" s="4"/>
      <c r="AH101" s="4"/>
      <c r="AI101" s="4"/>
      <c r="AJ101" s="4"/>
      <c r="AK101" s="4"/>
      <c r="AL101" s="435"/>
      <c r="AM101" s="4">
        <v>0</v>
      </c>
      <c r="AN101" s="4">
        <v>2000000</v>
      </c>
      <c r="AO101" s="4">
        <v>0</v>
      </c>
      <c r="AP101" s="4">
        <v>0</v>
      </c>
      <c r="AQ101" s="4"/>
      <c r="AR101" s="4"/>
      <c r="AS101" s="4"/>
      <c r="AT101" s="4"/>
      <c r="AU101" s="4"/>
      <c r="AV101" s="4">
        <f t="shared" si="15"/>
        <v>0</v>
      </c>
      <c r="AW101" s="4"/>
      <c r="AX101" s="4"/>
      <c r="AY101" s="4"/>
      <c r="AZ101" s="4"/>
    </row>
    <row r="102" spans="1:59" ht="31.95" customHeight="1">
      <c r="A102" s="3">
        <f t="shared" si="14"/>
        <v>98</v>
      </c>
      <c r="B102" s="28">
        <v>2239</v>
      </c>
      <c r="C102" s="3" t="s">
        <v>713</v>
      </c>
      <c r="D102" s="4">
        <v>30000000</v>
      </c>
      <c r="E102" s="4">
        <v>4700000</v>
      </c>
      <c r="F102" s="4">
        <f t="shared" si="10"/>
        <v>25300000</v>
      </c>
      <c r="G102" s="4">
        <v>0</v>
      </c>
      <c r="H102" s="4">
        <v>0</v>
      </c>
      <c r="I102" s="4">
        <v>0</v>
      </c>
      <c r="J102" s="4">
        <v>0</v>
      </c>
      <c r="K102" s="4">
        <f t="shared" si="16"/>
        <v>0</v>
      </c>
      <c r="L102" s="4">
        <f t="shared" si="19"/>
        <v>0</v>
      </c>
      <c r="M102" s="4">
        <f t="shared" si="18"/>
        <v>2000000</v>
      </c>
      <c r="N102" s="4">
        <f>12700000-4700000-1000000-2000000-2500000-1000000</f>
        <v>1500000</v>
      </c>
      <c r="O102" s="4">
        <f t="shared" si="11"/>
        <v>26500000</v>
      </c>
      <c r="P102" s="4">
        <f t="shared" si="12"/>
        <v>0</v>
      </c>
      <c r="Q102" s="4"/>
      <c r="R102" s="4">
        <v>2000000</v>
      </c>
      <c r="S102" s="4">
        <f>SUM(Q102:R102)</f>
        <v>2000000</v>
      </c>
      <c r="T102" s="4">
        <v>0</v>
      </c>
      <c r="U102" s="4">
        <v>1500000</v>
      </c>
      <c r="V102" s="4">
        <v>1500000</v>
      </c>
      <c r="W102" s="4"/>
      <c r="X102" s="4"/>
      <c r="Y102" s="4"/>
      <c r="Z102" s="4"/>
      <c r="AA102" s="4"/>
      <c r="AB102" s="3" t="s">
        <v>830</v>
      </c>
      <c r="AC102" s="3">
        <v>742000</v>
      </c>
      <c r="AD102" s="380"/>
      <c r="AE102" s="4"/>
      <c r="AF102" s="4">
        <v>750000</v>
      </c>
      <c r="AG102" s="4"/>
      <c r="AH102" s="4"/>
      <c r="AI102" s="4"/>
      <c r="AJ102" s="4"/>
      <c r="AK102" s="4"/>
      <c r="AL102" s="435"/>
      <c r="AM102" s="4">
        <v>750000</v>
      </c>
      <c r="AN102" s="4">
        <v>750000</v>
      </c>
      <c r="AO102" s="4">
        <v>750000</v>
      </c>
      <c r="AP102" s="4">
        <v>0</v>
      </c>
      <c r="AQ102" s="4"/>
      <c r="AR102" s="4"/>
      <c r="AS102" s="4"/>
      <c r="AT102" s="4"/>
      <c r="AU102" s="4"/>
      <c r="AV102" s="4">
        <f t="shared" si="15"/>
        <v>0</v>
      </c>
      <c r="AW102" s="4"/>
      <c r="AX102" s="4"/>
      <c r="AY102" s="4"/>
      <c r="AZ102" s="4"/>
    </row>
    <row r="103" spans="1:59" s="374" customFormat="1" ht="31.95" customHeight="1">
      <c r="A103" s="3">
        <f t="shared" si="14"/>
        <v>99</v>
      </c>
      <c r="B103" s="28">
        <v>2240</v>
      </c>
      <c r="C103" s="3" t="s">
        <v>714</v>
      </c>
      <c r="D103" s="4">
        <v>13200000</v>
      </c>
      <c r="E103" s="4">
        <v>9000000</v>
      </c>
      <c r="F103" s="4">
        <f t="shared" si="10"/>
        <v>4200000</v>
      </c>
      <c r="G103" s="4"/>
      <c r="H103" s="4"/>
      <c r="I103" s="4"/>
      <c r="J103" s="4"/>
      <c r="K103" s="4"/>
      <c r="L103" s="4"/>
      <c r="M103" s="4">
        <f t="shared" si="18"/>
        <v>100000</v>
      </c>
      <c r="N103" s="4">
        <f>7200000-1000000</f>
        <v>6200000</v>
      </c>
      <c r="O103" s="4">
        <f t="shared" si="11"/>
        <v>6900000</v>
      </c>
      <c r="P103" s="4">
        <f t="shared" si="12"/>
        <v>0</v>
      </c>
      <c r="Q103" s="4"/>
      <c r="R103" s="4">
        <v>100000</v>
      </c>
      <c r="S103" s="4">
        <f>SUM(Q103:R103)</f>
        <v>100000</v>
      </c>
      <c r="T103" s="4">
        <v>0</v>
      </c>
      <c r="U103" s="4">
        <v>6200000</v>
      </c>
      <c r="V103" s="4">
        <v>2800000</v>
      </c>
      <c r="W103" s="4"/>
      <c r="X103" s="4"/>
      <c r="Y103" s="4"/>
      <c r="Z103" s="4"/>
      <c r="AA103" s="4">
        <v>3400000</v>
      </c>
      <c r="AB103" s="3" t="s">
        <v>866</v>
      </c>
      <c r="AC103" s="3">
        <v>720000</v>
      </c>
      <c r="AD103" s="4">
        <v>500000</v>
      </c>
      <c r="AE103" s="4"/>
      <c r="AF103" s="4"/>
      <c r="AG103" s="4"/>
      <c r="AH103" s="4"/>
      <c r="AI103" s="4">
        <v>2300000</v>
      </c>
      <c r="AJ103" s="4"/>
      <c r="AK103" s="4"/>
      <c r="AL103" s="435">
        <v>0</v>
      </c>
      <c r="AM103" s="4">
        <v>2800000</v>
      </c>
      <c r="AN103" s="4">
        <v>3400000</v>
      </c>
      <c r="AO103" s="4">
        <v>2800000</v>
      </c>
      <c r="AP103" s="4">
        <v>0</v>
      </c>
      <c r="AQ103" s="4"/>
      <c r="AR103" s="4"/>
      <c r="AS103" s="4"/>
      <c r="AT103" s="4"/>
      <c r="AU103" s="4"/>
      <c r="AV103" s="4">
        <f t="shared" si="15"/>
        <v>0</v>
      </c>
      <c r="AW103" s="4"/>
      <c r="AX103" s="4"/>
      <c r="AY103" s="4"/>
      <c r="AZ103" s="4"/>
      <c r="BA103" s="372"/>
      <c r="BB103" s="372"/>
      <c r="BC103" s="372"/>
      <c r="BD103" s="372"/>
      <c r="BE103" s="372"/>
      <c r="BF103" s="372"/>
      <c r="BG103" s="372"/>
    </row>
    <row r="104" spans="1:59" ht="31.95" customHeight="1">
      <c r="A104" s="3">
        <f t="shared" si="14"/>
        <v>100</v>
      </c>
      <c r="B104" s="28">
        <v>2241</v>
      </c>
      <c r="C104" s="3" t="s">
        <v>1227</v>
      </c>
      <c r="D104" s="4">
        <v>600000</v>
      </c>
      <c r="E104" s="4">
        <v>600000</v>
      </c>
      <c r="F104" s="4">
        <f>D104-E104</f>
        <v>0</v>
      </c>
      <c r="G104" s="4"/>
      <c r="H104" s="4"/>
      <c r="I104" s="4"/>
      <c r="J104" s="4"/>
      <c r="K104" s="4"/>
      <c r="L104" s="4"/>
      <c r="M104" s="4">
        <f>P104+S104</f>
        <v>200000</v>
      </c>
      <c r="N104" s="4">
        <f>600000-200000</f>
        <v>400000</v>
      </c>
      <c r="O104" s="4">
        <f>D104-L104-M104-N104</f>
        <v>0</v>
      </c>
      <c r="P104" s="4">
        <f>G104-L104</f>
        <v>0</v>
      </c>
      <c r="Q104" s="4"/>
      <c r="R104" s="4">
        <v>200000</v>
      </c>
      <c r="S104" s="4">
        <f>SUM(Q104:R104)</f>
        <v>200000</v>
      </c>
      <c r="T104" s="4">
        <v>0</v>
      </c>
      <c r="U104" s="4">
        <v>400000</v>
      </c>
      <c r="V104" s="4">
        <v>300000</v>
      </c>
      <c r="W104" s="4">
        <v>100000</v>
      </c>
      <c r="X104" s="4"/>
      <c r="Y104" s="4"/>
      <c r="Z104" s="4"/>
      <c r="AA104" s="4"/>
      <c r="AB104" s="3" t="s">
        <v>1017</v>
      </c>
      <c r="AC104" s="3">
        <v>840000</v>
      </c>
      <c r="AD104" s="380"/>
      <c r="AE104" s="4">
        <v>400000</v>
      </c>
      <c r="AF104" s="4"/>
      <c r="AG104" s="4"/>
      <c r="AH104" s="4"/>
      <c r="AI104" s="4"/>
      <c r="AJ104" s="4"/>
      <c r="AK104" s="4"/>
      <c r="AL104" s="435"/>
      <c r="AM104" s="4">
        <v>400000</v>
      </c>
      <c r="AN104" s="4">
        <v>0</v>
      </c>
      <c r="AO104" s="4">
        <v>300000</v>
      </c>
      <c r="AP104" s="4">
        <v>100000</v>
      </c>
      <c r="AQ104" s="4"/>
      <c r="AR104" s="4"/>
      <c r="AS104" s="4"/>
      <c r="AT104" s="4"/>
      <c r="AU104" s="4"/>
      <c r="AV104" s="4">
        <f t="shared" si="15"/>
        <v>0</v>
      </c>
      <c r="AW104" s="4"/>
      <c r="AX104" s="4"/>
      <c r="AY104" s="4"/>
      <c r="AZ104" s="4"/>
    </row>
    <row r="105" spans="1:59" ht="31.95" customHeight="1">
      <c r="A105" s="3">
        <f t="shared" si="14"/>
        <v>101</v>
      </c>
      <c r="B105" s="28">
        <v>20019</v>
      </c>
      <c r="C105" s="3" t="s">
        <v>715</v>
      </c>
      <c r="D105" s="4">
        <v>100000</v>
      </c>
      <c r="E105" s="4"/>
      <c r="F105" s="4">
        <f t="shared" si="10"/>
        <v>100000</v>
      </c>
      <c r="G105" s="4"/>
      <c r="H105" s="4"/>
      <c r="I105" s="4"/>
      <c r="J105" s="4"/>
      <c r="K105" s="4"/>
      <c r="L105" s="4"/>
      <c r="M105" s="4">
        <f t="shared" si="18"/>
        <v>0</v>
      </c>
      <c r="N105" s="4">
        <v>100000</v>
      </c>
      <c r="O105" s="4">
        <f t="shared" si="11"/>
        <v>0</v>
      </c>
      <c r="P105" s="4">
        <f t="shared" si="12"/>
        <v>0</v>
      </c>
      <c r="Q105" s="4"/>
      <c r="R105" s="4"/>
      <c r="S105" s="4">
        <f t="shared" ref="S105:S119" si="20">SUM(Q105:R105)</f>
        <v>0</v>
      </c>
      <c r="T105" s="4">
        <v>0</v>
      </c>
      <c r="U105" s="4">
        <v>100000</v>
      </c>
      <c r="V105" s="4"/>
      <c r="W105" s="4">
        <v>100000</v>
      </c>
      <c r="X105" s="4"/>
      <c r="Y105" s="4"/>
      <c r="Z105" s="4"/>
      <c r="AA105" s="4"/>
      <c r="AB105" s="3" t="s">
        <v>858</v>
      </c>
      <c r="AC105" s="3">
        <v>870000</v>
      </c>
      <c r="AD105" s="380"/>
      <c r="AE105" s="4">
        <v>100000</v>
      </c>
      <c r="AF105" s="4"/>
      <c r="AG105" s="4"/>
      <c r="AH105" s="4"/>
      <c r="AI105" s="4"/>
      <c r="AJ105" s="4"/>
      <c r="AK105" s="4"/>
      <c r="AL105" s="435"/>
      <c r="AM105" s="4">
        <v>100000</v>
      </c>
      <c r="AN105" s="4">
        <v>0</v>
      </c>
      <c r="AO105" s="4"/>
      <c r="AP105" s="4">
        <v>100000</v>
      </c>
      <c r="AQ105" s="4"/>
      <c r="AR105" s="4"/>
      <c r="AS105" s="4"/>
      <c r="AT105" s="4"/>
      <c r="AU105" s="4"/>
      <c r="AV105" s="4">
        <f t="shared" si="15"/>
        <v>0</v>
      </c>
      <c r="AW105" s="4"/>
      <c r="AX105" s="4"/>
      <c r="AY105" s="4"/>
      <c r="AZ105" s="4"/>
    </row>
    <row r="106" spans="1:59" ht="31.95" customHeight="1">
      <c r="A106" s="3">
        <f t="shared" si="14"/>
        <v>102</v>
      </c>
      <c r="B106" s="28">
        <v>20020</v>
      </c>
      <c r="C106" s="3" t="s">
        <v>716</v>
      </c>
      <c r="D106" s="4">
        <v>300000</v>
      </c>
      <c r="E106" s="4"/>
      <c r="F106" s="4">
        <f t="shared" si="10"/>
        <v>300000</v>
      </c>
      <c r="G106" s="4"/>
      <c r="H106" s="4"/>
      <c r="I106" s="4"/>
      <c r="J106" s="4"/>
      <c r="K106" s="4"/>
      <c r="L106" s="4"/>
      <c r="M106" s="4">
        <f t="shared" si="18"/>
        <v>0</v>
      </c>
      <c r="N106" s="4">
        <v>300000</v>
      </c>
      <c r="O106" s="4">
        <f t="shared" si="11"/>
        <v>0</v>
      </c>
      <c r="P106" s="4">
        <f t="shared" si="12"/>
        <v>0</v>
      </c>
      <c r="Q106" s="4"/>
      <c r="R106" s="4"/>
      <c r="S106" s="4">
        <f t="shared" si="20"/>
        <v>0</v>
      </c>
      <c r="T106" s="4">
        <v>0</v>
      </c>
      <c r="U106" s="4">
        <v>300000</v>
      </c>
      <c r="V106" s="4"/>
      <c r="W106" s="4">
        <v>300000</v>
      </c>
      <c r="X106" s="4"/>
      <c r="Y106" s="4"/>
      <c r="Z106" s="4"/>
      <c r="AA106" s="4"/>
      <c r="AB106" s="381" t="s">
        <v>717</v>
      </c>
      <c r="AC106" s="3">
        <v>720000</v>
      </c>
      <c r="AD106" s="380"/>
      <c r="AE106" s="4">
        <v>300000</v>
      </c>
      <c r="AF106" s="4"/>
      <c r="AG106" s="4"/>
      <c r="AH106" s="4"/>
      <c r="AI106" s="4"/>
      <c r="AJ106" s="4"/>
      <c r="AK106" s="4"/>
      <c r="AL106" s="435"/>
      <c r="AM106" s="4">
        <v>300000</v>
      </c>
      <c r="AN106" s="4">
        <v>0</v>
      </c>
      <c r="AO106" s="4"/>
      <c r="AP106" s="4">
        <v>300000</v>
      </c>
      <c r="AQ106" s="4"/>
      <c r="AR106" s="4"/>
      <c r="AS106" s="4"/>
      <c r="AT106" s="4"/>
      <c r="AU106" s="4"/>
      <c r="AV106" s="4">
        <f t="shared" si="15"/>
        <v>0</v>
      </c>
      <c r="AW106" s="4"/>
      <c r="AX106" s="4"/>
      <c r="AY106" s="4"/>
      <c r="AZ106" s="4"/>
    </row>
    <row r="107" spans="1:59" ht="31.95" customHeight="1">
      <c r="A107" s="3">
        <f t="shared" si="14"/>
        <v>103</v>
      </c>
      <c r="B107" s="28">
        <v>20021</v>
      </c>
      <c r="C107" s="3" t="s">
        <v>718</v>
      </c>
      <c r="D107" s="4">
        <f>10000000-2000000</f>
        <v>8000000</v>
      </c>
      <c r="E107" s="4"/>
      <c r="F107" s="4">
        <f t="shared" si="10"/>
        <v>8000000</v>
      </c>
      <c r="G107" s="4"/>
      <c r="H107" s="4"/>
      <c r="I107" s="4"/>
      <c r="J107" s="4"/>
      <c r="K107" s="4"/>
      <c r="L107" s="4"/>
      <c r="M107" s="4">
        <f t="shared" si="18"/>
        <v>0</v>
      </c>
      <c r="N107" s="4">
        <f>5000000-2000000</f>
        <v>3000000</v>
      </c>
      <c r="O107" s="4">
        <f t="shared" si="11"/>
        <v>5000000</v>
      </c>
      <c r="P107" s="4">
        <f t="shared" si="12"/>
        <v>0</v>
      </c>
      <c r="Q107" s="4"/>
      <c r="R107" s="4"/>
      <c r="S107" s="4">
        <f t="shared" si="20"/>
        <v>0</v>
      </c>
      <c r="T107" s="4">
        <v>0</v>
      </c>
      <c r="U107" s="4">
        <v>3000000</v>
      </c>
      <c r="V107" s="4">
        <v>3000000</v>
      </c>
      <c r="W107" s="4"/>
      <c r="X107" s="4"/>
      <c r="Y107" s="4"/>
      <c r="Z107" s="4"/>
      <c r="AA107" s="4"/>
      <c r="AB107" s="3" t="s">
        <v>719</v>
      </c>
      <c r="AC107" s="3">
        <v>742000</v>
      </c>
      <c r="AD107" s="380"/>
      <c r="AE107" s="380"/>
      <c r="AF107" s="4"/>
      <c r="AG107" s="4"/>
      <c r="AH107" s="4">
        <v>1500000</v>
      </c>
      <c r="AI107" s="4"/>
      <c r="AJ107" s="4"/>
      <c r="AK107" s="4"/>
      <c r="AL107" s="435">
        <v>1500000</v>
      </c>
      <c r="AM107" s="4">
        <v>3000000</v>
      </c>
      <c r="AN107" s="435">
        <v>0</v>
      </c>
      <c r="AO107" s="4">
        <v>3000000</v>
      </c>
      <c r="AP107" s="4">
        <v>0</v>
      </c>
      <c r="AQ107" s="4"/>
      <c r="AR107" s="4"/>
      <c r="AS107" s="4"/>
      <c r="AT107" s="4"/>
      <c r="AU107" s="4">
        <v>1500000</v>
      </c>
      <c r="AV107" s="4">
        <f t="shared" si="15"/>
        <v>0</v>
      </c>
      <c r="AW107" s="4"/>
      <c r="AX107" s="4"/>
      <c r="AY107" s="4"/>
      <c r="AZ107" s="4"/>
    </row>
    <row r="108" spans="1:59" ht="31.95" customHeight="1">
      <c r="A108" s="3">
        <f t="shared" si="14"/>
        <v>104</v>
      </c>
      <c r="B108" s="28">
        <v>20022</v>
      </c>
      <c r="C108" s="3" t="s">
        <v>720</v>
      </c>
      <c r="D108" s="4">
        <v>180000</v>
      </c>
      <c r="E108" s="4"/>
      <c r="F108" s="4">
        <f t="shared" si="10"/>
        <v>180000</v>
      </c>
      <c r="G108" s="4"/>
      <c r="H108" s="4"/>
      <c r="I108" s="4"/>
      <c r="J108" s="4"/>
      <c r="K108" s="4"/>
      <c r="L108" s="4"/>
      <c r="M108" s="4">
        <f t="shared" si="18"/>
        <v>0</v>
      </c>
      <c r="N108" s="4">
        <v>180000</v>
      </c>
      <c r="O108" s="4">
        <f t="shared" si="11"/>
        <v>0</v>
      </c>
      <c r="P108" s="4">
        <f t="shared" si="12"/>
        <v>0</v>
      </c>
      <c r="Q108" s="4"/>
      <c r="R108" s="4"/>
      <c r="S108" s="4">
        <f t="shared" si="20"/>
        <v>0</v>
      </c>
      <c r="T108" s="4">
        <v>0</v>
      </c>
      <c r="U108" s="4">
        <v>180000</v>
      </c>
      <c r="V108" s="4"/>
      <c r="W108" s="4">
        <v>180000</v>
      </c>
      <c r="X108" s="4"/>
      <c r="Y108" s="4"/>
      <c r="Z108" s="4"/>
      <c r="AA108" s="4"/>
      <c r="AB108" s="3" t="s">
        <v>831</v>
      </c>
      <c r="AC108" s="3">
        <v>747000</v>
      </c>
      <c r="AD108" s="380"/>
      <c r="AE108" s="380"/>
      <c r="AF108" s="4"/>
      <c r="AG108" s="4"/>
      <c r="AH108" s="4"/>
      <c r="AI108" s="4"/>
      <c r="AJ108" s="4"/>
      <c r="AK108" s="4"/>
      <c r="AL108" s="435"/>
      <c r="AM108" s="4">
        <v>0</v>
      </c>
      <c r="AN108" s="4">
        <v>180000</v>
      </c>
      <c r="AO108" s="4"/>
      <c r="AP108" s="4">
        <v>0</v>
      </c>
      <c r="AQ108" s="4"/>
      <c r="AR108" s="4"/>
      <c r="AS108" s="4"/>
      <c r="AT108" s="4"/>
      <c r="AU108" s="4"/>
      <c r="AV108" s="4">
        <f t="shared" si="15"/>
        <v>0</v>
      </c>
      <c r="AW108" s="4"/>
      <c r="AX108" s="4"/>
      <c r="AY108" s="4"/>
      <c r="AZ108" s="4"/>
    </row>
    <row r="109" spans="1:59" ht="31.95" customHeight="1">
      <c r="A109" s="3">
        <f t="shared" si="14"/>
        <v>105</v>
      </c>
      <c r="B109" s="28">
        <v>20023</v>
      </c>
      <c r="C109" s="3" t="s">
        <v>721</v>
      </c>
      <c r="D109" s="4">
        <v>200000</v>
      </c>
      <c r="E109" s="4"/>
      <c r="F109" s="4">
        <f t="shared" si="10"/>
        <v>200000</v>
      </c>
      <c r="G109" s="4"/>
      <c r="H109" s="4"/>
      <c r="I109" s="4"/>
      <c r="J109" s="4"/>
      <c r="K109" s="4"/>
      <c r="L109" s="4"/>
      <c r="M109" s="4">
        <f t="shared" si="18"/>
        <v>0</v>
      </c>
      <c r="N109" s="4">
        <v>200000</v>
      </c>
      <c r="O109" s="4">
        <f t="shared" si="11"/>
        <v>0</v>
      </c>
      <c r="P109" s="4">
        <f t="shared" si="12"/>
        <v>0</v>
      </c>
      <c r="Q109" s="4"/>
      <c r="R109" s="4"/>
      <c r="S109" s="4">
        <f t="shared" si="20"/>
        <v>0</v>
      </c>
      <c r="T109" s="4">
        <v>0</v>
      </c>
      <c r="U109" s="4">
        <v>200000</v>
      </c>
      <c r="V109" s="4"/>
      <c r="W109" s="4">
        <v>0</v>
      </c>
      <c r="X109" s="4"/>
      <c r="Y109" s="4"/>
      <c r="Z109" s="4"/>
      <c r="AA109" s="4">
        <v>200000</v>
      </c>
      <c r="AB109" s="3" t="s">
        <v>832</v>
      </c>
      <c r="AC109" s="3">
        <v>747000</v>
      </c>
      <c r="AD109" s="380"/>
      <c r="AE109" s="4"/>
      <c r="AF109" s="4"/>
      <c r="AG109" s="4"/>
      <c r="AH109" s="4"/>
      <c r="AI109" s="4"/>
      <c r="AJ109" s="4"/>
      <c r="AK109" s="4"/>
      <c r="AL109" s="435"/>
      <c r="AM109" s="4">
        <v>0</v>
      </c>
      <c r="AN109" s="4">
        <v>200000</v>
      </c>
      <c r="AO109" s="4"/>
      <c r="AP109" s="4">
        <v>0</v>
      </c>
      <c r="AQ109" s="4"/>
      <c r="AR109" s="4"/>
      <c r="AS109" s="4"/>
      <c r="AT109" s="4">
        <v>0</v>
      </c>
      <c r="AU109" s="4"/>
      <c r="AV109" s="4">
        <f t="shared" si="15"/>
        <v>0</v>
      </c>
      <c r="AW109" s="4"/>
      <c r="AX109" s="4"/>
      <c r="AY109" s="4"/>
      <c r="AZ109" s="4"/>
    </row>
    <row r="110" spans="1:59" ht="31.95" customHeight="1">
      <c r="A110" s="3">
        <f t="shared" si="14"/>
        <v>106</v>
      </c>
      <c r="B110" s="28">
        <v>20024</v>
      </c>
      <c r="C110" s="3" t="s">
        <v>1346</v>
      </c>
      <c r="D110" s="4">
        <f>400000+400000</f>
        <v>800000</v>
      </c>
      <c r="E110" s="4"/>
      <c r="F110" s="4">
        <f t="shared" si="10"/>
        <v>800000</v>
      </c>
      <c r="G110" s="4"/>
      <c r="H110" s="4"/>
      <c r="I110" s="4"/>
      <c r="J110" s="4"/>
      <c r="K110" s="4"/>
      <c r="L110" s="4"/>
      <c r="M110" s="4">
        <f t="shared" si="18"/>
        <v>0</v>
      </c>
      <c r="N110" s="4">
        <f>800000-400000</f>
        <v>400000</v>
      </c>
      <c r="O110" s="4">
        <f t="shared" si="11"/>
        <v>400000</v>
      </c>
      <c r="P110" s="4">
        <f t="shared" si="12"/>
        <v>0</v>
      </c>
      <c r="Q110" s="4"/>
      <c r="R110" s="4"/>
      <c r="S110" s="4">
        <f t="shared" si="20"/>
        <v>0</v>
      </c>
      <c r="T110" s="4">
        <v>0</v>
      </c>
      <c r="U110" s="4">
        <v>400000</v>
      </c>
      <c r="V110" s="4"/>
      <c r="W110" s="4">
        <v>230000</v>
      </c>
      <c r="X110" s="4"/>
      <c r="Y110" s="4"/>
      <c r="Z110" s="4"/>
      <c r="AA110" s="4">
        <v>170000</v>
      </c>
      <c r="AB110" s="3" t="s">
        <v>1514</v>
      </c>
      <c r="AC110" s="3">
        <v>747000</v>
      </c>
      <c r="AD110" s="380"/>
      <c r="AE110" s="4"/>
      <c r="AF110" s="4"/>
      <c r="AG110" s="4"/>
      <c r="AH110" s="4">
        <v>230000</v>
      </c>
      <c r="AI110" s="4"/>
      <c r="AJ110" s="4"/>
      <c r="AK110" s="4"/>
      <c r="AL110" s="435"/>
      <c r="AM110" s="4">
        <v>230000</v>
      </c>
      <c r="AN110" s="4">
        <v>170000</v>
      </c>
      <c r="AO110" s="4"/>
      <c r="AP110" s="4">
        <v>230000</v>
      </c>
      <c r="AQ110" s="4"/>
      <c r="AR110" s="4"/>
      <c r="AS110" s="4"/>
      <c r="AT110" s="4"/>
      <c r="AU110" s="4"/>
      <c r="AV110" s="4">
        <f t="shared" si="15"/>
        <v>0</v>
      </c>
      <c r="AW110" s="4"/>
      <c r="AX110" s="4"/>
      <c r="AY110" s="4"/>
      <c r="AZ110" s="4"/>
    </row>
    <row r="111" spans="1:59" ht="31.95" customHeight="1">
      <c r="A111" s="3">
        <f t="shared" si="14"/>
        <v>107</v>
      </c>
      <c r="B111" s="28">
        <v>20025</v>
      </c>
      <c r="C111" s="3" t="s">
        <v>722</v>
      </c>
      <c r="D111" s="4">
        <v>50000</v>
      </c>
      <c r="E111" s="4"/>
      <c r="F111" s="4">
        <f t="shared" si="10"/>
        <v>50000</v>
      </c>
      <c r="G111" s="4"/>
      <c r="H111" s="4"/>
      <c r="I111" s="4"/>
      <c r="J111" s="4"/>
      <c r="K111" s="4"/>
      <c r="L111" s="4"/>
      <c r="M111" s="4">
        <f t="shared" si="18"/>
        <v>0</v>
      </c>
      <c r="N111" s="4">
        <v>50000</v>
      </c>
      <c r="O111" s="4">
        <f t="shared" si="11"/>
        <v>0</v>
      </c>
      <c r="P111" s="4">
        <f t="shared" si="12"/>
        <v>0</v>
      </c>
      <c r="Q111" s="4"/>
      <c r="R111" s="4"/>
      <c r="S111" s="4">
        <f t="shared" si="20"/>
        <v>0</v>
      </c>
      <c r="T111" s="4">
        <v>0</v>
      </c>
      <c r="U111" s="4">
        <v>50000</v>
      </c>
      <c r="V111" s="4"/>
      <c r="W111" s="4">
        <v>0</v>
      </c>
      <c r="X111" s="4"/>
      <c r="Y111" s="4"/>
      <c r="Z111" s="4"/>
      <c r="AA111" s="4">
        <v>50000</v>
      </c>
      <c r="AB111" s="3" t="s">
        <v>526</v>
      </c>
      <c r="AC111" s="3">
        <v>747000</v>
      </c>
      <c r="AD111" s="380"/>
      <c r="AE111" s="4">
        <v>50000</v>
      </c>
      <c r="AF111" s="4"/>
      <c r="AG111" s="4"/>
      <c r="AH111" s="4"/>
      <c r="AI111" s="4"/>
      <c r="AJ111" s="4"/>
      <c r="AK111" s="4"/>
      <c r="AL111" s="435"/>
      <c r="AM111" s="4">
        <v>50000</v>
      </c>
      <c r="AN111" s="4">
        <v>0</v>
      </c>
      <c r="AO111" s="4"/>
      <c r="AP111" s="4">
        <v>0</v>
      </c>
      <c r="AQ111" s="4"/>
      <c r="AR111" s="4"/>
      <c r="AS111" s="4"/>
      <c r="AT111" s="4">
        <v>50000</v>
      </c>
      <c r="AU111" s="4"/>
      <c r="AV111" s="4">
        <f t="shared" si="15"/>
        <v>0</v>
      </c>
      <c r="AW111" s="4"/>
      <c r="AX111" s="4"/>
      <c r="AY111" s="4"/>
      <c r="AZ111" s="4"/>
    </row>
    <row r="112" spans="1:59" ht="31.95" customHeight="1">
      <c r="A112" s="3">
        <f t="shared" si="14"/>
        <v>108</v>
      </c>
      <c r="B112" s="28">
        <v>20026</v>
      </c>
      <c r="C112" s="3" t="s">
        <v>723</v>
      </c>
      <c r="D112" s="4">
        <v>50000</v>
      </c>
      <c r="E112" s="4"/>
      <c r="F112" s="4">
        <f t="shared" si="10"/>
        <v>50000</v>
      </c>
      <c r="G112" s="4"/>
      <c r="H112" s="4"/>
      <c r="I112" s="4"/>
      <c r="J112" s="4"/>
      <c r="K112" s="4"/>
      <c r="L112" s="4"/>
      <c r="M112" s="4">
        <f t="shared" si="18"/>
        <v>0</v>
      </c>
      <c r="N112" s="4">
        <v>50000</v>
      </c>
      <c r="O112" s="4">
        <f t="shared" si="11"/>
        <v>0</v>
      </c>
      <c r="P112" s="4">
        <f t="shared" si="12"/>
        <v>0</v>
      </c>
      <c r="Q112" s="4"/>
      <c r="R112" s="4"/>
      <c r="S112" s="4">
        <f t="shared" si="20"/>
        <v>0</v>
      </c>
      <c r="T112" s="4">
        <v>0</v>
      </c>
      <c r="U112" s="4">
        <v>50000</v>
      </c>
      <c r="V112" s="4"/>
      <c r="W112" s="4">
        <v>0</v>
      </c>
      <c r="X112" s="4"/>
      <c r="Y112" s="4"/>
      <c r="Z112" s="4"/>
      <c r="AA112" s="4">
        <v>50000</v>
      </c>
      <c r="AB112" s="3" t="s">
        <v>526</v>
      </c>
      <c r="AC112" s="3">
        <v>747000</v>
      </c>
      <c r="AD112" s="380"/>
      <c r="AE112" s="4">
        <v>50000</v>
      </c>
      <c r="AF112" s="4"/>
      <c r="AG112" s="4"/>
      <c r="AH112" s="4"/>
      <c r="AI112" s="4"/>
      <c r="AJ112" s="4"/>
      <c r="AK112" s="4"/>
      <c r="AL112" s="435"/>
      <c r="AM112" s="4">
        <v>50000</v>
      </c>
      <c r="AN112" s="4">
        <v>0</v>
      </c>
      <c r="AO112" s="4"/>
      <c r="AP112" s="4">
        <v>0</v>
      </c>
      <c r="AQ112" s="4"/>
      <c r="AR112" s="4"/>
      <c r="AS112" s="4"/>
      <c r="AT112" s="4">
        <v>50000</v>
      </c>
      <c r="AU112" s="4"/>
      <c r="AV112" s="4">
        <f t="shared" si="15"/>
        <v>0</v>
      </c>
      <c r="AW112" s="4"/>
      <c r="AX112" s="4"/>
      <c r="AY112" s="4"/>
      <c r="AZ112" s="4"/>
    </row>
    <row r="113" spans="1:59" ht="31.95" customHeight="1">
      <c r="A113" s="3">
        <f t="shared" si="14"/>
        <v>109</v>
      </c>
      <c r="B113" s="28">
        <v>20027</v>
      </c>
      <c r="C113" s="3" t="s">
        <v>724</v>
      </c>
      <c r="D113" s="4">
        <v>82800</v>
      </c>
      <c r="E113" s="4"/>
      <c r="F113" s="4">
        <f t="shared" si="10"/>
        <v>82800</v>
      </c>
      <c r="G113" s="4">
        <v>0</v>
      </c>
      <c r="H113" s="4">
        <v>0</v>
      </c>
      <c r="I113" s="4">
        <v>0</v>
      </c>
      <c r="J113" s="4">
        <v>0</v>
      </c>
      <c r="K113" s="4">
        <f>SUM(I113:J113)</f>
        <v>0</v>
      </c>
      <c r="L113" s="4">
        <f>H113+K113</f>
        <v>0</v>
      </c>
      <c r="M113" s="4">
        <f t="shared" si="18"/>
        <v>0</v>
      </c>
      <c r="N113" s="4">
        <v>82800</v>
      </c>
      <c r="O113" s="4">
        <f t="shared" si="11"/>
        <v>0</v>
      </c>
      <c r="P113" s="4">
        <f t="shared" si="12"/>
        <v>0</v>
      </c>
      <c r="Q113" s="4"/>
      <c r="R113" s="4"/>
      <c r="S113" s="4">
        <f t="shared" si="20"/>
        <v>0</v>
      </c>
      <c r="T113" s="4">
        <v>0</v>
      </c>
      <c r="U113" s="4">
        <v>82800</v>
      </c>
      <c r="V113" s="4"/>
      <c r="W113" s="4">
        <v>0</v>
      </c>
      <c r="X113" s="4"/>
      <c r="Y113" s="4"/>
      <c r="Z113" s="4"/>
      <c r="AA113" s="4">
        <v>82800</v>
      </c>
      <c r="AB113" s="3" t="s">
        <v>526</v>
      </c>
      <c r="AC113" s="3">
        <v>747000</v>
      </c>
      <c r="AD113" s="380"/>
      <c r="AE113" s="4">
        <v>82800</v>
      </c>
      <c r="AF113" s="4"/>
      <c r="AG113" s="4"/>
      <c r="AH113" s="4"/>
      <c r="AI113" s="4"/>
      <c r="AJ113" s="4"/>
      <c r="AK113" s="4"/>
      <c r="AL113" s="435"/>
      <c r="AM113" s="4">
        <v>82800</v>
      </c>
      <c r="AN113" s="4">
        <v>0</v>
      </c>
      <c r="AO113" s="4"/>
      <c r="AP113" s="4">
        <v>0</v>
      </c>
      <c r="AQ113" s="4"/>
      <c r="AR113" s="4"/>
      <c r="AS113" s="4"/>
      <c r="AT113" s="4">
        <v>82800</v>
      </c>
      <c r="AU113" s="4"/>
      <c r="AV113" s="4">
        <f t="shared" si="15"/>
        <v>0</v>
      </c>
      <c r="AW113" s="4"/>
      <c r="AX113" s="4"/>
      <c r="AY113" s="4"/>
      <c r="AZ113" s="4"/>
    </row>
    <row r="114" spans="1:59" ht="31.95" customHeight="1">
      <c r="A114" s="3">
        <f t="shared" si="14"/>
        <v>110</v>
      </c>
      <c r="B114" s="28">
        <v>20028</v>
      </c>
      <c r="C114" s="3" t="s">
        <v>1352</v>
      </c>
      <c r="D114" s="4">
        <f>270000+350000</f>
        <v>620000</v>
      </c>
      <c r="E114" s="4"/>
      <c r="F114" s="4">
        <f t="shared" si="10"/>
        <v>620000</v>
      </c>
      <c r="G114" s="4"/>
      <c r="H114" s="4"/>
      <c r="I114" s="4"/>
      <c r="J114" s="4"/>
      <c r="K114" s="4"/>
      <c r="L114" s="4"/>
      <c r="M114" s="4">
        <f t="shared" si="18"/>
        <v>0</v>
      </c>
      <c r="N114" s="4">
        <v>620000</v>
      </c>
      <c r="O114" s="4">
        <f t="shared" si="11"/>
        <v>0</v>
      </c>
      <c r="P114" s="4">
        <f t="shared" si="12"/>
        <v>0</v>
      </c>
      <c r="Q114" s="4"/>
      <c r="R114" s="4"/>
      <c r="S114" s="4">
        <f t="shared" si="20"/>
        <v>0</v>
      </c>
      <c r="T114" s="4">
        <v>0</v>
      </c>
      <c r="U114" s="4">
        <v>620000</v>
      </c>
      <c r="V114" s="4"/>
      <c r="W114" s="4">
        <v>620000</v>
      </c>
      <c r="X114" s="4"/>
      <c r="Y114" s="4"/>
      <c r="Z114" s="4"/>
      <c r="AA114" s="4"/>
      <c r="AB114" s="3" t="s">
        <v>757</v>
      </c>
      <c r="AC114" s="3">
        <v>810000</v>
      </c>
      <c r="AD114" s="380"/>
      <c r="AE114" s="4">
        <v>150000</v>
      </c>
      <c r="AF114" s="4"/>
      <c r="AG114" s="4">
        <v>200000</v>
      </c>
      <c r="AH114" s="4">
        <v>200000</v>
      </c>
      <c r="AI114" s="4"/>
      <c r="AJ114" s="4">
        <v>70000</v>
      </c>
      <c r="AK114" s="4"/>
      <c r="AL114" s="435"/>
      <c r="AM114" s="4">
        <v>620000</v>
      </c>
      <c r="AN114" s="4">
        <v>0</v>
      </c>
      <c r="AO114" s="4"/>
      <c r="AP114" s="4">
        <v>620000</v>
      </c>
      <c r="AQ114" s="4"/>
      <c r="AR114" s="4"/>
      <c r="AS114" s="4"/>
      <c r="AT114" s="4"/>
      <c r="AU114" s="4"/>
      <c r="AV114" s="4">
        <f t="shared" si="15"/>
        <v>0</v>
      </c>
      <c r="AW114" s="4"/>
      <c r="AX114" s="4"/>
      <c r="AY114" s="4"/>
      <c r="AZ114" s="4"/>
    </row>
    <row r="115" spans="1:59" ht="31.95" customHeight="1">
      <c r="A115" s="3">
        <f t="shared" si="14"/>
        <v>111</v>
      </c>
      <c r="B115" s="28">
        <v>20029</v>
      </c>
      <c r="C115" s="3" t="s">
        <v>725</v>
      </c>
      <c r="D115" s="4">
        <v>2000000</v>
      </c>
      <c r="E115" s="4"/>
      <c r="F115" s="4">
        <f t="shared" si="10"/>
        <v>2000000</v>
      </c>
      <c r="G115" s="4"/>
      <c r="H115" s="4"/>
      <c r="I115" s="4"/>
      <c r="J115" s="4"/>
      <c r="K115" s="4"/>
      <c r="L115" s="4"/>
      <c r="M115" s="4">
        <f t="shared" si="18"/>
        <v>0</v>
      </c>
      <c r="N115" s="4">
        <f>2000000-1000000</f>
        <v>1000000</v>
      </c>
      <c r="O115" s="4">
        <f t="shared" si="11"/>
        <v>1000000</v>
      </c>
      <c r="P115" s="4">
        <f t="shared" si="12"/>
        <v>0</v>
      </c>
      <c r="Q115" s="4"/>
      <c r="R115" s="4"/>
      <c r="S115" s="4">
        <f t="shared" si="20"/>
        <v>0</v>
      </c>
      <c r="T115" s="4">
        <v>0</v>
      </c>
      <c r="U115" s="4">
        <v>1000000</v>
      </c>
      <c r="V115" s="4"/>
      <c r="W115" s="4">
        <v>1000000</v>
      </c>
      <c r="X115" s="4"/>
      <c r="Y115" s="4"/>
      <c r="Z115" s="4"/>
      <c r="AA115" s="4"/>
      <c r="AB115" s="28" t="s">
        <v>833</v>
      </c>
      <c r="AC115" s="3">
        <v>848000</v>
      </c>
      <c r="AD115" s="380"/>
      <c r="AE115" s="4">
        <v>200000</v>
      </c>
      <c r="AF115" s="4"/>
      <c r="AG115" s="4"/>
      <c r="AH115" s="4"/>
      <c r="AI115" s="4"/>
      <c r="AJ115" s="4">
        <v>800000</v>
      </c>
      <c r="AK115" s="4"/>
      <c r="AL115" s="435"/>
      <c r="AM115" s="4">
        <v>1000000</v>
      </c>
      <c r="AN115" s="4">
        <v>0</v>
      </c>
      <c r="AO115" s="4"/>
      <c r="AP115" s="4">
        <v>1000000</v>
      </c>
      <c r="AQ115" s="4"/>
      <c r="AR115" s="4"/>
      <c r="AS115" s="4"/>
      <c r="AT115" s="4"/>
      <c r="AU115" s="4"/>
      <c r="AV115" s="4">
        <f t="shared" si="15"/>
        <v>0</v>
      </c>
      <c r="AW115" s="4"/>
      <c r="AX115" s="4"/>
      <c r="AY115" s="4"/>
      <c r="AZ115" s="4"/>
    </row>
    <row r="116" spans="1:59" ht="31.95" customHeight="1">
      <c r="A116" s="3">
        <f t="shared" si="14"/>
        <v>112</v>
      </c>
      <c r="B116" s="28">
        <v>20030</v>
      </c>
      <c r="C116" s="3" t="s">
        <v>726</v>
      </c>
      <c r="D116" s="4">
        <f>6000000+2700000</f>
        <v>8700000</v>
      </c>
      <c r="E116" s="4"/>
      <c r="F116" s="4">
        <f t="shared" si="10"/>
        <v>8700000</v>
      </c>
      <c r="G116" s="4">
        <v>0</v>
      </c>
      <c r="H116" s="4">
        <v>0</v>
      </c>
      <c r="I116" s="4">
        <v>0</v>
      </c>
      <c r="J116" s="4">
        <v>0</v>
      </c>
      <c r="K116" s="4">
        <f>SUM(I116:J116)</f>
        <v>0</v>
      </c>
      <c r="L116" s="4">
        <f>H116+K116</f>
        <v>0</v>
      </c>
      <c r="M116" s="4">
        <f t="shared" si="18"/>
        <v>0</v>
      </c>
      <c r="N116" s="4">
        <f>6000000+2700000-2200000</f>
        <v>6500000</v>
      </c>
      <c r="O116" s="4">
        <f t="shared" si="11"/>
        <v>2200000</v>
      </c>
      <c r="P116" s="4">
        <f t="shared" si="12"/>
        <v>0</v>
      </c>
      <c r="Q116" s="4"/>
      <c r="R116" s="4"/>
      <c r="S116" s="4">
        <f t="shared" si="20"/>
        <v>0</v>
      </c>
      <c r="T116" s="4">
        <v>0</v>
      </c>
      <c r="U116" s="4">
        <v>6500000</v>
      </c>
      <c r="V116" s="4">
        <v>3000000</v>
      </c>
      <c r="W116" s="4">
        <v>3500000</v>
      </c>
      <c r="X116" s="4"/>
      <c r="Y116" s="4"/>
      <c r="Z116" s="4"/>
      <c r="AA116" s="4"/>
      <c r="AB116" s="3" t="s">
        <v>727</v>
      </c>
      <c r="AC116" s="3">
        <v>810000</v>
      </c>
      <c r="AD116" s="380"/>
      <c r="AE116" s="4">
        <v>100000</v>
      </c>
      <c r="AF116" s="4">
        <v>1000000</v>
      </c>
      <c r="AG116" s="4">
        <v>1000000</v>
      </c>
      <c r="AH116" s="4">
        <v>4400000</v>
      </c>
      <c r="AI116" s="4"/>
      <c r="AJ116" s="4"/>
      <c r="AK116" s="4"/>
      <c r="AL116" s="435"/>
      <c r="AM116" s="4">
        <v>6500000</v>
      </c>
      <c r="AN116" s="4">
        <v>0</v>
      </c>
      <c r="AO116" s="4">
        <v>3000000</v>
      </c>
      <c r="AP116" s="4">
        <v>3500000</v>
      </c>
      <c r="AQ116" s="4"/>
      <c r="AR116" s="4"/>
      <c r="AS116" s="4"/>
      <c r="AT116" s="4"/>
      <c r="AU116" s="4"/>
      <c r="AV116" s="4">
        <f t="shared" si="15"/>
        <v>0</v>
      </c>
      <c r="AW116" s="4"/>
      <c r="AX116" s="4"/>
      <c r="AY116" s="4"/>
      <c r="AZ116" s="4"/>
    </row>
    <row r="117" spans="1:59" ht="31.95" customHeight="1">
      <c r="A117" s="3">
        <f t="shared" si="14"/>
        <v>113</v>
      </c>
      <c r="B117" s="28">
        <v>20031</v>
      </c>
      <c r="C117" s="3" t="s">
        <v>1228</v>
      </c>
      <c r="D117" s="4">
        <f>500000-300000</f>
        <v>200000</v>
      </c>
      <c r="E117" s="4"/>
      <c r="F117" s="4">
        <f t="shared" si="10"/>
        <v>200000</v>
      </c>
      <c r="G117" s="4"/>
      <c r="H117" s="4"/>
      <c r="I117" s="4"/>
      <c r="J117" s="4"/>
      <c r="K117" s="4"/>
      <c r="L117" s="4"/>
      <c r="M117" s="4"/>
      <c r="N117" s="4">
        <f>500000-300000</f>
        <v>200000</v>
      </c>
      <c r="O117" s="4">
        <f t="shared" si="11"/>
        <v>0</v>
      </c>
      <c r="P117" s="4">
        <f t="shared" si="12"/>
        <v>0</v>
      </c>
      <c r="Q117" s="4"/>
      <c r="R117" s="4"/>
      <c r="S117" s="4">
        <f t="shared" si="20"/>
        <v>0</v>
      </c>
      <c r="T117" s="4">
        <v>0</v>
      </c>
      <c r="U117" s="4">
        <v>200000</v>
      </c>
      <c r="V117" s="4">
        <v>200000</v>
      </c>
      <c r="W117" s="4"/>
      <c r="X117" s="4"/>
      <c r="Y117" s="4"/>
      <c r="Z117" s="4"/>
      <c r="AA117" s="4"/>
      <c r="AB117" s="3" t="s">
        <v>729</v>
      </c>
      <c r="AC117" s="3">
        <v>810000</v>
      </c>
      <c r="AD117" s="380"/>
      <c r="AE117" s="4"/>
      <c r="AF117" s="4"/>
      <c r="AG117" s="4"/>
      <c r="AH117" s="4"/>
      <c r="AI117" s="4"/>
      <c r="AJ117" s="4"/>
      <c r="AK117" s="4"/>
      <c r="AL117" s="435"/>
      <c r="AM117" s="4">
        <v>0</v>
      </c>
      <c r="AN117" s="4">
        <v>200000</v>
      </c>
      <c r="AO117" s="4">
        <v>0</v>
      </c>
      <c r="AP117" s="4">
        <v>0</v>
      </c>
      <c r="AQ117" s="4"/>
      <c r="AR117" s="4"/>
      <c r="AS117" s="4"/>
      <c r="AT117" s="4"/>
      <c r="AU117" s="4"/>
      <c r="AV117" s="4">
        <f t="shared" si="15"/>
        <v>0</v>
      </c>
      <c r="AW117" s="4"/>
      <c r="AX117" s="4"/>
      <c r="AY117" s="4"/>
      <c r="AZ117" s="4"/>
      <c r="BA117" s="492"/>
    </row>
    <row r="118" spans="1:59" ht="31.95" customHeight="1">
      <c r="A118" s="3">
        <f t="shared" si="14"/>
        <v>114</v>
      </c>
      <c r="B118" s="28">
        <v>20032</v>
      </c>
      <c r="C118" s="3" t="s">
        <v>730</v>
      </c>
      <c r="D118" s="4">
        <v>4850000</v>
      </c>
      <c r="E118" s="4"/>
      <c r="F118" s="4">
        <f t="shared" si="10"/>
        <v>4850000</v>
      </c>
      <c r="G118" s="4"/>
      <c r="H118" s="4"/>
      <c r="I118" s="4"/>
      <c r="J118" s="4"/>
      <c r="K118" s="4"/>
      <c r="L118" s="4"/>
      <c r="M118" s="4">
        <f>P118+S118</f>
        <v>0</v>
      </c>
      <c r="N118" s="4">
        <f>4850000-2350000-1500000-500000</f>
        <v>500000</v>
      </c>
      <c r="O118" s="4">
        <f t="shared" si="11"/>
        <v>4350000</v>
      </c>
      <c r="P118" s="4">
        <f t="shared" si="12"/>
        <v>0</v>
      </c>
      <c r="Q118" s="4"/>
      <c r="R118" s="4"/>
      <c r="S118" s="4">
        <f t="shared" si="20"/>
        <v>0</v>
      </c>
      <c r="T118" s="4">
        <v>0</v>
      </c>
      <c r="U118" s="4">
        <v>500000</v>
      </c>
      <c r="V118" s="4">
        <v>500000</v>
      </c>
      <c r="W118" s="4"/>
      <c r="X118" s="4"/>
      <c r="Y118" s="4"/>
      <c r="Z118" s="4"/>
      <c r="AA118" s="4"/>
      <c r="AB118" s="3" t="s">
        <v>1018</v>
      </c>
      <c r="AC118" s="3">
        <v>829000</v>
      </c>
      <c r="AD118" s="380"/>
      <c r="AE118" s="4"/>
      <c r="AF118" s="4"/>
      <c r="AG118" s="4"/>
      <c r="AH118" s="4">
        <v>60000</v>
      </c>
      <c r="AI118" s="4"/>
      <c r="AJ118" s="4"/>
      <c r="AK118" s="4"/>
      <c r="AL118" s="435"/>
      <c r="AM118" s="4">
        <v>60000</v>
      </c>
      <c r="AN118" s="4">
        <v>440000</v>
      </c>
      <c r="AO118" s="4">
        <v>60000</v>
      </c>
      <c r="AP118" s="4">
        <v>0</v>
      </c>
      <c r="AQ118" s="4"/>
      <c r="AR118" s="4"/>
      <c r="AS118" s="4"/>
      <c r="AT118" s="4"/>
      <c r="AU118" s="4"/>
      <c r="AV118" s="4">
        <f t="shared" si="15"/>
        <v>0</v>
      </c>
      <c r="AW118" s="4"/>
      <c r="AX118" s="4"/>
      <c r="AY118" s="4"/>
      <c r="AZ118" s="4"/>
    </row>
    <row r="119" spans="1:59" ht="31.95" customHeight="1">
      <c r="A119" s="3">
        <f t="shared" si="14"/>
        <v>115</v>
      </c>
      <c r="B119" s="28">
        <v>20033</v>
      </c>
      <c r="C119" s="3" t="s">
        <v>1347</v>
      </c>
      <c r="D119" s="4">
        <v>910000</v>
      </c>
      <c r="E119" s="4"/>
      <c r="F119" s="4">
        <f t="shared" si="10"/>
        <v>910000</v>
      </c>
      <c r="G119" s="4"/>
      <c r="H119" s="4"/>
      <c r="I119" s="4"/>
      <c r="J119" s="4"/>
      <c r="K119" s="4"/>
      <c r="L119" s="4"/>
      <c r="M119" s="4">
        <f>P119+S119</f>
        <v>0</v>
      </c>
      <c r="N119" s="4">
        <v>910000</v>
      </c>
      <c r="O119" s="4">
        <f t="shared" si="11"/>
        <v>0</v>
      </c>
      <c r="P119" s="4">
        <f t="shared" si="12"/>
        <v>0</v>
      </c>
      <c r="Q119" s="4"/>
      <c r="R119" s="4"/>
      <c r="S119" s="4">
        <f t="shared" si="20"/>
        <v>0</v>
      </c>
      <c r="T119" s="4">
        <v>0</v>
      </c>
      <c r="U119" s="4">
        <v>910000</v>
      </c>
      <c r="V119" s="4">
        <v>910000</v>
      </c>
      <c r="W119" s="4"/>
      <c r="X119" s="4"/>
      <c r="Y119" s="4"/>
      <c r="Z119" s="4"/>
      <c r="AA119" s="4"/>
      <c r="AB119" s="3" t="s">
        <v>1019</v>
      </c>
      <c r="AC119" s="3">
        <v>829000</v>
      </c>
      <c r="AD119" s="380"/>
      <c r="AE119" s="4"/>
      <c r="AF119" s="4">
        <v>100000</v>
      </c>
      <c r="AG119" s="4"/>
      <c r="AH119" s="4"/>
      <c r="AI119" s="4"/>
      <c r="AJ119" s="4"/>
      <c r="AK119" s="4">
        <v>810000</v>
      </c>
      <c r="AL119" s="435"/>
      <c r="AM119" s="4">
        <v>910000</v>
      </c>
      <c r="AN119" s="4">
        <v>0</v>
      </c>
      <c r="AO119" s="4">
        <v>910000</v>
      </c>
      <c r="AP119" s="4">
        <v>0</v>
      </c>
      <c r="AQ119" s="4"/>
      <c r="AR119" s="4"/>
      <c r="AS119" s="4"/>
      <c r="AT119" s="4"/>
      <c r="AU119" s="4"/>
      <c r="AV119" s="4">
        <f t="shared" si="15"/>
        <v>0</v>
      </c>
      <c r="AW119" s="4"/>
      <c r="AX119" s="4"/>
      <c r="AY119" s="4"/>
      <c r="AZ119" s="4"/>
    </row>
    <row r="120" spans="1:59" ht="31.95" customHeight="1">
      <c r="A120" s="3">
        <f t="shared" si="14"/>
        <v>116</v>
      </c>
      <c r="B120" s="28">
        <v>20034</v>
      </c>
      <c r="C120" s="3" t="s">
        <v>731</v>
      </c>
      <c r="D120" s="4">
        <v>2000000</v>
      </c>
      <c r="E120" s="4"/>
      <c r="F120" s="4">
        <f t="shared" si="10"/>
        <v>2000000</v>
      </c>
      <c r="G120" s="4"/>
      <c r="H120" s="4"/>
      <c r="I120" s="4"/>
      <c r="J120" s="4"/>
      <c r="K120" s="4"/>
      <c r="L120" s="4"/>
      <c r="M120" s="4"/>
      <c r="N120" s="4">
        <v>2000000</v>
      </c>
      <c r="O120" s="4">
        <f t="shared" si="11"/>
        <v>0</v>
      </c>
      <c r="P120" s="4"/>
      <c r="Q120" s="4"/>
      <c r="R120" s="4"/>
      <c r="S120" s="4"/>
      <c r="T120" s="4"/>
      <c r="U120" s="4">
        <v>2000000</v>
      </c>
      <c r="V120" s="4"/>
      <c r="W120" s="4">
        <v>1000000</v>
      </c>
      <c r="X120" s="4"/>
      <c r="Y120" s="4"/>
      <c r="Z120" s="4"/>
      <c r="AA120" s="4">
        <v>1000000</v>
      </c>
      <c r="AB120" s="3" t="s">
        <v>1020</v>
      </c>
      <c r="AC120" s="3">
        <v>828000</v>
      </c>
      <c r="AD120" s="4">
        <v>100000</v>
      </c>
      <c r="AE120" s="4"/>
      <c r="AF120" s="4"/>
      <c r="AG120" s="4"/>
      <c r="AH120" s="4"/>
      <c r="AI120" s="4">
        <v>800000</v>
      </c>
      <c r="AJ120" s="4"/>
      <c r="AK120" s="4"/>
      <c r="AL120" s="435">
        <v>100000</v>
      </c>
      <c r="AM120" s="4">
        <v>1000000</v>
      </c>
      <c r="AN120" s="4">
        <v>1000000</v>
      </c>
      <c r="AO120" s="4"/>
      <c r="AP120" s="4">
        <v>1000000</v>
      </c>
      <c r="AQ120" s="4"/>
      <c r="AR120" s="4"/>
      <c r="AS120" s="4"/>
      <c r="AT120" s="4"/>
      <c r="AU120" s="4"/>
      <c r="AV120" s="4">
        <f t="shared" si="15"/>
        <v>100000</v>
      </c>
      <c r="AW120" s="4"/>
      <c r="AX120" s="4"/>
      <c r="AY120" s="4"/>
      <c r="AZ120" s="4"/>
    </row>
    <row r="121" spans="1:59" ht="31.95" customHeight="1">
      <c r="A121" s="3">
        <f t="shared" si="14"/>
        <v>117</v>
      </c>
      <c r="B121" s="28">
        <v>20035</v>
      </c>
      <c r="C121" s="3" t="s">
        <v>1229</v>
      </c>
      <c r="D121" s="4">
        <v>3000000</v>
      </c>
      <c r="E121" s="4"/>
      <c r="F121" s="4">
        <f t="shared" si="10"/>
        <v>3000000</v>
      </c>
      <c r="G121" s="4"/>
      <c r="H121" s="4"/>
      <c r="I121" s="4"/>
      <c r="J121" s="4"/>
      <c r="K121" s="4"/>
      <c r="L121" s="4"/>
      <c r="M121" s="4"/>
      <c r="N121" s="4">
        <f>3000000-1000000-500000-500000</f>
        <v>1000000</v>
      </c>
      <c r="O121" s="4">
        <f t="shared" si="11"/>
        <v>2000000</v>
      </c>
      <c r="P121" s="4"/>
      <c r="Q121" s="4"/>
      <c r="R121" s="4"/>
      <c r="S121" s="4"/>
      <c r="T121" s="4"/>
      <c r="U121" s="4">
        <v>1000000</v>
      </c>
      <c r="V121" s="4"/>
      <c r="W121" s="4">
        <v>1000000</v>
      </c>
      <c r="X121" s="4"/>
      <c r="Y121" s="4"/>
      <c r="Z121" s="4"/>
      <c r="AA121" s="4"/>
      <c r="AB121" s="3" t="s">
        <v>807</v>
      </c>
      <c r="AC121" s="3">
        <v>828000</v>
      </c>
      <c r="AD121" s="380"/>
      <c r="AE121" s="4"/>
      <c r="AF121" s="4">
        <v>100000</v>
      </c>
      <c r="AG121" s="4"/>
      <c r="AH121" s="4"/>
      <c r="AI121" s="4"/>
      <c r="AJ121" s="4"/>
      <c r="AK121" s="4"/>
      <c r="AL121" s="435"/>
      <c r="AM121" s="4">
        <v>100000</v>
      </c>
      <c r="AN121" s="4">
        <v>900000</v>
      </c>
      <c r="AO121" s="4"/>
      <c r="AP121" s="4">
        <v>100000</v>
      </c>
      <c r="AQ121" s="4"/>
      <c r="AR121" s="4"/>
      <c r="AS121" s="4"/>
      <c r="AT121" s="4"/>
      <c r="AU121" s="4"/>
      <c r="AV121" s="4">
        <f t="shared" si="15"/>
        <v>0</v>
      </c>
      <c r="AW121" s="4"/>
      <c r="AX121" s="4"/>
      <c r="AY121" s="4"/>
      <c r="AZ121" s="4"/>
    </row>
    <row r="122" spans="1:59" s="357" customFormat="1" ht="31.95" customHeight="1">
      <c r="A122" s="3">
        <f t="shared" si="14"/>
        <v>118</v>
      </c>
      <c r="B122" s="28">
        <v>20036</v>
      </c>
      <c r="C122" s="3" t="s">
        <v>732</v>
      </c>
      <c r="D122" s="4">
        <v>7800000</v>
      </c>
      <c r="E122" s="4"/>
      <c r="F122" s="4">
        <f t="shared" si="10"/>
        <v>7800000</v>
      </c>
      <c r="G122" s="4"/>
      <c r="H122" s="4"/>
      <c r="I122" s="4"/>
      <c r="J122" s="4"/>
      <c r="K122" s="4"/>
      <c r="L122" s="4"/>
      <c r="M122" s="4"/>
      <c r="N122" s="4">
        <f>500000-300000</f>
        <v>200000</v>
      </c>
      <c r="O122" s="4">
        <f t="shared" si="11"/>
        <v>7600000</v>
      </c>
      <c r="P122" s="4"/>
      <c r="Q122" s="4"/>
      <c r="R122" s="4"/>
      <c r="S122" s="4"/>
      <c r="T122" s="4"/>
      <c r="U122" s="4">
        <v>200000</v>
      </c>
      <c r="V122" s="4"/>
      <c r="W122" s="4">
        <v>200000</v>
      </c>
      <c r="X122" s="4"/>
      <c r="Y122" s="4"/>
      <c r="Z122" s="4"/>
      <c r="AA122" s="4"/>
      <c r="AB122" s="3" t="s">
        <v>806</v>
      </c>
      <c r="AC122" s="3">
        <v>810000</v>
      </c>
      <c r="AD122" s="4"/>
      <c r="AE122" s="4"/>
      <c r="AF122" s="4"/>
      <c r="AG122" s="4"/>
      <c r="AH122" s="4">
        <v>200000</v>
      </c>
      <c r="AI122" s="4"/>
      <c r="AJ122" s="4"/>
      <c r="AK122" s="4"/>
      <c r="AL122" s="435"/>
      <c r="AM122" s="4">
        <v>200000</v>
      </c>
      <c r="AN122" s="4">
        <v>0</v>
      </c>
      <c r="AO122" s="4"/>
      <c r="AP122" s="4">
        <v>200000</v>
      </c>
      <c r="AQ122" s="4"/>
      <c r="AR122" s="4"/>
      <c r="AS122" s="4"/>
      <c r="AT122" s="4"/>
      <c r="AU122" s="4"/>
      <c r="AV122" s="4">
        <f t="shared" si="15"/>
        <v>0</v>
      </c>
      <c r="AW122" s="4"/>
      <c r="AX122" s="4"/>
      <c r="AY122" s="4"/>
      <c r="AZ122" s="4"/>
      <c r="BA122" s="372"/>
      <c r="BB122" s="372"/>
      <c r="BC122" s="372"/>
      <c r="BD122" s="372"/>
      <c r="BE122" s="372"/>
      <c r="BF122" s="372"/>
      <c r="BG122" s="372"/>
    </row>
    <row r="123" spans="1:59" ht="31.95" customHeight="1">
      <c r="A123" s="3">
        <f t="shared" si="14"/>
        <v>119</v>
      </c>
      <c r="B123" s="28">
        <v>20037</v>
      </c>
      <c r="C123" s="3" t="s">
        <v>733</v>
      </c>
      <c r="D123" s="4">
        <v>2000000</v>
      </c>
      <c r="E123" s="4"/>
      <c r="F123" s="4">
        <f t="shared" si="10"/>
        <v>2000000</v>
      </c>
      <c r="G123" s="4"/>
      <c r="H123" s="4"/>
      <c r="I123" s="4"/>
      <c r="J123" s="4"/>
      <c r="K123" s="4"/>
      <c r="L123" s="4"/>
      <c r="M123" s="4"/>
      <c r="N123" s="4">
        <f>2000000-500000</f>
        <v>1500000</v>
      </c>
      <c r="O123" s="4">
        <f t="shared" si="11"/>
        <v>500000</v>
      </c>
      <c r="P123" s="4"/>
      <c r="Q123" s="4"/>
      <c r="R123" s="4"/>
      <c r="S123" s="4"/>
      <c r="T123" s="4"/>
      <c r="U123" s="4">
        <v>1500000</v>
      </c>
      <c r="V123" s="4"/>
      <c r="W123" s="4">
        <v>500000</v>
      </c>
      <c r="X123" s="4"/>
      <c r="Y123" s="4"/>
      <c r="Z123" s="4"/>
      <c r="AA123" s="4">
        <v>1000000</v>
      </c>
      <c r="AB123" s="3" t="s">
        <v>811</v>
      </c>
      <c r="AC123" s="3">
        <v>826000</v>
      </c>
      <c r="AD123" s="4"/>
      <c r="AE123" s="4">
        <v>300000</v>
      </c>
      <c r="AF123" s="4"/>
      <c r="AG123" s="4"/>
      <c r="AH123" s="4"/>
      <c r="AI123" s="4">
        <v>200000</v>
      </c>
      <c r="AJ123" s="4"/>
      <c r="AK123" s="4">
        <v>1000000</v>
      </c>
      <c r="AL123" s="435"/>
      <c r="AM123" s="4">
        <v>1500000</v>
      </c>
      <c r="AN123" s="4">
        <v>0</v>
      </c>
      <c r="AO123" s="4"/>
      <c r="AP123" s="4">
        <v>500000</v>
      </c>
      <c r="AQ123" s="4"/>
      <c r="AR123" s="4"/>
      <c r="AS123" s="4"/>
      <c r="AT123" s="4">
        <v>1000000</v>
      </c>
      <c r="AU123" s="4"/>
      <c r="AV123" s="4">
        <f t="shared" si="15"/>
        <v>0</v>
      </c>
      <c r="AW123" s="4"/>
      <c r="AX123" s="4"/>
      <c r="AY123" s="4"/>
      <c r="AZ123" s="4"/>
    </row>
    <row r="124" spans="1:59" ht="31.95" customHeight="1">
      <c r="A124" s="3">
        <f t="shared" si="14"/>
        <v>120</v>
      </c>
      <c r="B124" s="28">
        <v>20038</v>
      </c>
      <c r="C124" s="3" t="s">
        <v>734</v>
      </c>
      <c r="D124" s="4">
        <v>550000</v>
      </c>
      <c r="E124" s="4"/>
      <c r="F124" s="4">
        <f>D124-E124</f>
        <v>550000</v>
      </c>
      <c r="G124" s="4"/>
      <c r="H124" s="4"/>
      <c r="I124" s="4"/>
      <c r="J124" s="4"/>
      <c r="K124" s="4"/>
      <c r="L124" s="4"/>
      <c r="M124" s="4"/>
      <c r="N124" s="4">
        <v>550000</v>
      </c>
      <c r="O124" s="4">
        <f>D124-L124-M124-N124</f>
        <v>0</v>
      </c>
      <c r="P124" s="4"/>
      <c r="Q124" s="4"/>
      <c r="R124" s="4"/>
      <c r="S124" s="4"/>
      <c r="T124" s="4"/>
      <c r="U124" s="4">
        <v>550000</v>
      </c>
      <c r="V124" s="4"/>
      <c r="W124" s="4">
        <v>550000</v>
      </c>
      <c r="X124" s="4"/>
      <c r="Y124" s="4"/>
      <c r="Z124" s="4"/>
      <c r="AA124" s="4"/>
      <c r="AB124" s="3" t="s">
        <v>735</v>
      </c>
      <c r="AC124" s="3">
        <v>829000</v>
      </c>
      <c r="AD124" s="4"/>
      <c r="AE124" s="4"/>
      <c r="AF124" s="4"/>
      <c r="AG124" s="4"/>
      <c r="AH124" s="4"/>
      <c r="AI124" s="4">
        <v>550000</v>
      </c>
      <c r="AJ124" s="4"/>
      <c r="AK124" s="4"/>
      <c r="AL124" s="435"/>
      <c r="AM124" s="4">
        <v>550000</v>
      </c>
      <c r="AN124" s="4">
        <v>0</v>
      </c>
      <c r="AO124" s="4"/>
      <c r="AP124" s="4">
        <v>550000</v>
      </c>
      <c r="AQ124" s="4"/>
      <c r="AR124" s="4"/>
      <c r="AS124" s="4"/>
      <c r="AT124" s="4"/>
      <c r="AU124" s="4"/>
      <c r="AV124" s="4">
        <f t="shared" si="15"/>
        <v>0</v>
      </c>
      <c r="AW124" s="4"/>
      <c r="AX124" s="4"/>
      <c r="AY124" s="4"/>
      <c r="AZ124" s="4"/>
    </row>
    <row r="125" spans="1:59" ht="31.95" customHeight="1">
      <c r="A125" s="3">
        <f t="shared" si="14"/>
        <v>121</v>
      </c>
      <c r="B125" s="28">
        <v>20039</v>
      </c>
      <c r="C125" s="3" t="s">
        <v>810</v>
      </c>
      <c r="D125" s="4">
        <f>4200000-1000000</f>
        <v>3200000</v>
      </c>
      <c r="E125" s="4"/>
      <c r="F125" s="4">
        <f>D125-E125</f>
        <v>3200000</v>
      </c>
      <c r="G125" s="4"/>
      <c r="H125" s="4"/>
      <c r="I125" s="4"/>
      <c r="J125" s="4"/>
      <c r="K125" s="4"/>
      <c r="L125" s="4"/>
      <c r="M125" s="4"/>
      <c r="N125" s="4">
        <f>4200000-1000000</f>
        <v>3200000</v>
      </c>
      <c r="O125" s="4">
        <f>D125-L125-M125-N125</f>
        <v>0</v>
      </c>
      <c r="P125" s="4"/>
      <c r="Q125" s="4"/>
      <c r="R125" s="4"/>
      <c r="S125" s="4"/>
      <c r="T125" s="4"/>
      <c r="U125" s="4">
        <v>3200000</v>
      </c>
      <c r="V125" s="4"/>
      <c r="W125" s="4">
        <v>3200000</v>
      </c>
      <c r="X125" s="4"/>
      <c r="Y125" s="4"/>
      <c r="Z125" s="4"/>
      <c r="AA125" s="4"/>
      <c r="AB125" s="3" t="s">
        <v>868</v>
      </c>
      <c r="AC125" s="3">
        <v>720000</v>
      </c>
      <c r="AD125" s="4">
        <v>1000000</v>
      </c>
      <c r="AE125" s="4">
        <v>2200000</v>
      </c>
      <c r="AF125" s="4"/>
      <c r="AG125" s="4"/>
      <c r="AH125" s="4"/>
      <c r="AI125" s="4"/>
      <c r="AJ125" s="4"/>
      <c r="AK125" s="4"/>
      <c r="AL125" s="435"/>
      <c r="AM125" s="4">
        <v>3200000</v>
      </c>
      <c r="AN125" s="4">
        <v>0</v>
      </c>
      <c r="AO125" s="4"/>
      <c r="AP125" s="4">
        <v>3200000</v>
      </c>
      <c r="AQ125" s="4"/>
      <c r="AR125" s="4"/>
      <c r="AS125" s="4"/>
      <c r="AT125" s="4"/>
      <c r="AU125" s="4"/>
      <c r="AV125" s="4">
        <f t="shared" si="15"/>
        <v>0</v>
      </c>
      <c r="AW125" s="4"/>
      <c r="AX125" s="4"/>
      <c r="AY125" s="4"/>
      <c r="AZ125" s="4"/>
    </row>
    <row r="126" spans="1:59" ht="31.95" customHeight="1">
      <c r="A126" s="3">
        <f t="shared" si="14"/>
        <v>122</v>
      </c>
      <c r="B126" s="28">
        <v>20040</v>
      </c>
      <c r="C126" s="3" t="s">
        <v>1230</v>
      </c>
      <c r="D126" s="4">
        <v>10000000</v>
      </c>
      <c r="E126" s="4"/>
      <c r="F126" s="4">
        <f t="shared" si="10"/>
        <v>10000000</v>
      </c>
      <c r="G126" s="4"/>
      <c r="H126" s="4"/>
      <c r="I126" s="4"/>
      <c r="J126" s="4"/>
      <c r="K126" s="4"/>
      <c r="L126" s="4"/>
      <c r="M126" s="4"/>
      <c r="N126" s="4">
        <f>10000000-2000000-6000000-1000000</f>
        <v>1000000</v>
      </c>
      <c r="O126" s="4">
        <f t="shared" si="11"/>
        <v>9000000</v>
      </c>
      <c r="P126" s="4"/>
      <c r="Q126" s="4"/>
      <c r="R126" s="4"/>
      <c r="S126" s="4"/>
      <c r="T126" s="4"/>
      <c r="U126" s="4">
        <v>1000000</v>
      </c>
      <c r="V126" s="4"/>
      <c r="W126" s="4"/>
      <c r="X126" s="4"/>
      <c r="Y126" s="4"/>
      <c r="Z126" s="4"/>
      <c r="AA126" s="4">
        <v>1000000</v>
      </c>
      <c r="AB126" s="3" t="s">
        <v>869</v>
      </c>
      <c r="AC126" s="3">
        <v>764000</v>
      </c>
      <c r="AD126" s="380"/>
      <c r="AE126" s="380"/>
      <c r="AF126" s="4"/>
      <c r="AG126" s="4"/>
      <c r="AH126" s="4"/>
      <c r="AI126" s="4"/>
      <c r="AJ126" s="4"/>
      <c r="AK126" s="4"/>
      <c r="AL126" s="435"/>
      <c r="AM126" s="4">
        <v>0</v>
      </c>
      <c r="AN126" s="4">
        <v>1000000</v>
      </c>
      <c r="AO126" s="4"/>
      <c r="AP126" s="4">
        <v>0</v>
      </c>
      <c r="AQ126" s="4"/>
      <c r="AR126" s="4"/>
      <c r="AS126" s="4"/>
      <c r="AT126" s="4">
        <v>0</v>
      </c>
      <c r="AU126" s="4"/>
      <c r="AV126" s="4">
        <f t="shared" si="15"/>
        <v>0</v>
      </c>
      <c r="AW126" s="4"/>
      <c r="AX126" s="4"/>
      <c r="AY126" s="4"/>
      <c r="AZ126" s="4"/>
    </row>
    <row r="127" spans="1:59" s="414" customFormat="1" ht="31.95" customHeight="1">
      <c r="A127" s="412">
        <f>A126</f>
        <v>122</v>
      </c>
      <c r="B127" s="412"/>
      <c r="C127" s="412" t="s">
        <v>88</v>
      </c>
      <c r="D127" s="413">
        <f t="shared" ref="D127:S127" si="21">SUM(D5:D126)</f>
        <v>806482978</v>
      </c>
      <c r="E127" s="413">
        <f t="shared" si="21"/>
        <v>702118212</v>
      </c>
      <c r="F127" s="413">
        <f t="shared" si="21"/>
        <v>104364766</v>
      </c>
      <c r="G127" s="413">
        <f t="shared" si="21"/>
        <v>518658778</v>
      </c>
      <c r="H127" s="413">
        <f t="shared" si="21"/>
        <v>421111924</v>
      </c>
      <c r="I127" s="413">
        <f t="shared" si="21"/>
        <v>23248948</v>
      </c>
      <c r="J127" s="413">
        <f t="shared" si="21"/>
        <v>45388313</v>
      </c>
      <c r="K127" s="413">
        <f t="shared" si="21"/>
        <v>68637261</v>
      </c>
      <c r="L127" s="413">
        <f t="shared" si="21"/>
        <v>489749185</v>
      </c>
      <c r="M127" s="413">
        <f t="shared" si="21"/>
        <v>31121559</v>
      </c>
      <c r="N127" s="413">
        <f t="shared" si="21"/>
        <v>84404800</v>
      </c>
      <c r="O127" s="413">
        <f t="shared" si="21"/>
        <v>201207434</v>
      </c>
      <c r="P127" s="413">
        <f t="shared" si="21"/>
        <v>28909593</v>
      </c>
      <c r="Q127" s="413">
        <f t="shared" si="21"/>
        <v>2020000</v>
      </c>
      <c r="R127" s="413">
        <f t="shared" si="21"/>
        <v>300000</v>
      </c>
      <c r="S127" s="413">
        <f t="shared" si="21"/>
        <v>2320000</v>
      </c>
      <c r="T127" s="413">
        <v>108034</v>
      </c>
      <c r="U127" s="413">
        <v>84296766</v>
      </c>
      <c r="V127" s="413">
        <v>22084574</v>
      </c>
      <c r="W127" s="413">
        <v>44644649</v>
      </c>
      <c r="X127" s="413">
        <v>0</v>
      </c>
      <c r="Y127" s="413">
        <v>0</v>
      </c>
      <c r="Z127" s="413">
        <v>0</v>
      </c>
      <c r="AA127" s="413">
        <v>17567543</v>
      </c>
      <c r="AB127" s="412"/>
      <c r="AC127" s="412"/>
      <c r="AD127" s="413">
        <v>4600000</v>
      </c>
      <c r="AE127" s="413">
        <v>12947800</v>
      </c>
      <c r="AF127" s="413">
        <v>4670000</v>
      </c>
      <c r="AG127" s="413">
        <v>7140000</v>
      </c>
      <c r="AH127" s="413">
        <v>7970000</v>
      </c>
      <c r="AI127" s="413">
        <v>10425000</v>
      </c>
      <c r="AJ127" s="413">
        <v>5970000</v>
      </c>
      <c r="AK127" s="413">
        <v>5560000</v>
      </c>
      <c r="AL127" s="493">
        <v>10341966</v>
      </c>
      <c r="AM127" s="413">
        <v>69624766</v>
      </c>
      <c r="AN127" s="413">
        <v>14672000</v>
      </c>
      <c r="AO127" s="413">
        <v>18244574</v>
      </c>
      <c r="AP127" s="413">
        <v>39782264</v>
      </c>
      <c r="AQ127" s="413">
        <v>0</v>
      </c>
      <c r="AR127" s="413">
        <v>0</v>
      </c>
      <c r="AS127" s="413">
        <v>0</v>
      </c>
      <c r="AT127" s="413">
        <v>11597928</v>
      </c>
      <c r="AU127" s="413">
        <f t="shared" ref="AU127:AZ127" si="22">SUM(AU5:AU126)</f>
        <v>2784574</v>
      </c>
      <c r="AV127" s="413">
        <f t="shared" si="22"/>
        <v>7375293</v>
      </c>
      <c r="AW127" s="413">
        <f t="shared" si="22"/>
        <v>0</v>
      </c>
      <c r="AX127" s="413">
        <f t="shared" si="22"/>
        <v>0</v>
      </c>
      <c r="AY127" s="413">
        <f t="shared" si="22"/>
        <v>0</v>
      </c>
      <c r="AZ127" s="413">
        <f t="shared" si="22"/>
        <v>182099</v>
      </c>
      <c r="BA127" s="372"/>
      <c r="BB127" s="372"/>
      <c r="BC127" s="372"/>
      <c r="BD127" s="372"/>
      <c r="BE127" s="372"/>
      <c r="BF127" s="372"/>
      <c r="BG127" s="372"/>
    </row>
    <row r="128" spans="1:59" s="406" customFormat="1" ht="13.8" hidden="1">
      <c r="A128" s="404"/>
      <c r="B128" s="246"/>
      <c r="C128" s="405"/>
      <c r="D128" s="405"/>
      <c r="E128" s="247"/>
      <c r="F128" s="247"/>
      <c r="G128" s="247"/>
      <c r="H128" s="247"/>
      <c r="I128" s="247"/>
      <c r="J128" s="247"/>
      <c r="K128" s="247"/>
      <c r="L128" s="247">
        <f>H127+K127</f>
        <v>489749185</v>
      </c>
      <c r="M128" s="247">
        <f>P127+S127-T127</f>
        <v>31121559</v>
      </c>
      <c r="N128" s="247"/>
      <c r="O128" s="247"/>
      <c r="P128" s="247">
        <f>G127-L127</f>
        <v>28909593</v>
      </c>
      <c r="Q128" s="247"/>
      <c r="R128" s="247"/>
      <c r="S128" s="247"/>
      <c r="T128" s="247"/>
      <c r="U128" s="246"/>
      <c r="V128" s="246"/>
      <c r="W128" s="246"/>
      <c r="X128" s="246"/>
      <c r="Y128" s="246"/>
      <c r="Z128" s="246"/>
      <c r="AA128" s="246"/>
      <c r="AB128" s="404"/>
      <c r="AC128" s="246"/>
      <c r="AD128" s="372"/>
      <c r="AE128" s="372"/>
      <c r="AF128" s="372"/>
      <c r="AG128" s="372"/>
      <c r="AH128" s="372"/>
      <c r="AI128" s="372"/>
      <c r="AJ128" s="372"/>
      <c r="AK128" s="372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2"/>
      <c r="AX128" s="372"/>
      <c r="AY128" s="372"/>
      <c r="AZ128" s="372"/>
      <c r="BA128" s="372"/>
      <c r="BB128" s="372"/>
      <c r="BC128" s="372"/>
      <c r="BD128" s="372"/>
      <c r="BE128" s="372"/>
      <c r="BF128" s="372"/>
      <c r="BG128" s="372"/>
    </row>
    <row r="129" spans="1:59" s="406" customFormat="1" ht="13.8">
      <c r="A129" s="404"/>
      <c r="B129" s="246"/>
      <c r="C129" s="405"/>
      <c r="D129" s="405"/>
      <c r="E129" s="247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6"/>
      <c r="W129" s="246"/>
      <c r="X129" s="246"/>
      <c r="Y129" s="246"/>
      <c r="Z129" s="246"/>
      <c r="AA129" s="246"/>
      <c r="AB129" s="404"/>
      <c r="AC129" s="246"/>
      <c r="AD129" s="372"/>
      <c r="AE129" s="372"/>
      <c r="AF129" s="372"/>
      <c r="AG129" s="372"/>
      <c r="AH129" s="372"/>
      <c r="AI129" s="372"/>
      <c r="AJ129" s="372"/>
      <c r="AK129" s="372"/>
      <c r="AL129" s="372"/>
      <c r="AM129" s="372"/>
      <c r="AN129" s="372"/>
      <c r="AO129" s="372"/>
      <c r="AP129" s="372"/>
      <c r="AQ129" s="372"/>
      <c r="AR129" s="372"/>
      <c r="AS129" s="372"/>
      <c r="AT129" s="372"/>
      <c r="AU129" s="372"/>
      <c r="AV129" s="372"/>
      <c r="AW129" s="372"/>
      <c r="AX129" s="372"/>
      <c r="AY129" s="372"/>
      <c r="AZ129" s="372"/>
      <c r="BA129" s="372"/>
      <c r="BB129" s="372"/>
      <c r="BC129" s="372"/>
      <c r="BD129" s="372"/>
      <c r="BE129" s="372"/>
      <c r="BF129" s="372"/>
      <c r="BG129" s="372"/>
    </row>
    <row r="130" spans="1:59" ht="26.4" hidden="1">
      <c r="N130" s="184"/>
      <c r="O130" s="184"/>
      <c r="P130" s="184"/>
      <c r="Q130" s="184"/>
      <c r="R130" s="184"/>
      <c r="S130" s="184"/>
      <c r="T130" s="184"/>
      <c r="U130" s="184"/>
      <c r="V130" s="184"/>
      <c r="AG130" s="59"/>
      <c r="AH130" s="4"/>
      <c r="AI130" s="4"/>
      <c r="AJ130" s="4"/>
      <c r="AK130" s="4"/>
      <c r="AM130" s="372" t="s">
        <v>1021</v>
      </c>
      <c r="AN130" s="494">
        <f>AN107+AN74+AN51+AN49+AN28+AN19+AN17+AN15+AN14+AN10+AN6+1340000</f>
        <v>1540000</v>
      </c>
    </row>
    <row r="131" spans="1:59">
      <c r="N131" s="184"/>
      <c r="O131" s="184"/>
      <c r="P131" s="184"/>
      <c r="Q131" s="184"/>
      <c r="R131" s="184"/>
      <c r="S131" s="184"/>
      <c r="T131" s="184"/>
      <c r="U131" s="184"/>
      <c r="V131" s="184"/>
      <c r="AN131" s="495"/>
    </row>
    <row r="132" spans="1:59" ht="13.8">
      <c r="N132" s="184"/>
      <c r="O132" s="184"/>
      <c r="P132" s="184"/>
      <c r="Q132" s="184"/>
      <c r="R132" s="184"/>
      <c r="S132" s="184"/>
      <c r="T132" s="184"/>
      <c r="U132" s="184"/>
      <c r="V132" s="184"/>
      <c r="AG132" s="59"/>
      <c r="AH132" s="4"/>
      <c r="AI132" s="4"/>
      <c r="AJ132" s="4"/>
      <c r="AK132" s="4"/>
      <c r="AN132" s="495"/>
    </row>
    <row r="133" spans="1:59">
      <c r="N133" s="184"/>
      <c r="O133" s="184"/>
      <c r="P133" s="184"/>
      <c r="Q133" s="184"/>
      <c r="R133" s="184"/>
      <c r="S133" s="184"/>
      <c r="T133" s="184"/>
      <c r="U133" s="184"/>
      <c r="V133" s="184"/>
    </row>
    <row r="134" spans="1:59">
      <c r="N134" s="184"/>
      <c r="O134" s="184"/>
      <c r="P134" s="184"/>
      <c r="Q134" s="184"/>
      <c r="R134" s="184"/>
      <c r="S134" s="184"/>
      <c r="T134" s="184"/>
      <c r="U134" s="184"/>
      <c r="V134" s="184"/>
    </row>
    <row r="135" spans="1:59">
      <c r="N135" s="184"/>
      <c r="O135" s="184"/>
      <c r="P135" s="184"/>
      <c r="Q135" s="184"/>
      <c r="R135" s="184"/>
      <c r="S135" s="184"/>
      <c r="T135" s="184"/>
      <c r="U135" s="184"/>
      <c r="V135" s="184"/>
    </row>
    <row r="136" spans="1:59">
      <c r="N136" s="184"/>
      <c r="O136" s="184"/>
      <c r="P136" s="184"/>
      <c r="Q136" s="184"/>
      <c r="R136" s="184"/>
      <c r="S136" s="184"/>
      <c r="T136" s="184"/>
      <c r="U136" s="184"/>
      <c r="V136" s="184"/>
    </row>
    <row r="137" spans="1:59">
      <c r="N137" s="184"/>
      <c r="O137" s="184"/>
      <c r="P137" s="184"/>
      <c r="Q137" s="184"/>
      <c r="R137" s="184"/>
      <c r="S137" s="184"/>
      <c r="T137" s="184"/>
      <c r="U137" s="184"/>
      <c r="V137" s="184"/>
    </row>
    <row r="138" spans="1:59">
      <c r="N138" s="184"/>
      <c r="O138" s="184"/>
      <c r="P138" s="184"/>
      <c r="Q138" s="184"/>
      <c r="R138" s="184"/>
      <c r="S138" s="184"/>
      <c r="T138" s="184"/>
      <c r="U138" s="184"/>
      <c r="V138" s="184"/>
    </row>
    <row r="139" spans="1:59">
      <c r="N139" s="184"/>
      <c r="O139" s="184"/>
      <c r="P139" s="184"/>
      <c r="Q139" s="184"/>
      <c r="R139" s="184"/>
      <c r="S139" s="184"/>
      <c r="T139" s="184"/>
      <c r="U139" s="184"/>
      <c r="V139" s="184"/>
    </row>
    <row r="140" spans="1:59">
      <c r="N140" s="184"/>
      <c r="O140" s="184"/>
      <c r="P140" s="184"/>
      <c r="Q140" s="184"/>
      <c r="R140" s="184"/>
      <c r="S140" s="184"/>
      <c r="T140" s="184"/>
      <c r="U140" s="184"/>
      <c r="V140" s="184"/>
    </row>
    <row r="141" spans="1:59">
      <c r="N141" s="184"/>
      <c r="O141" s="184"/>
      <c r="P141" s="184"/>
      <c r="Q141" s="184"/>
      <c r="R141" s="184"/>
      <c r="S141" s="184"/>
      <c r="T141" s="184"/>
      <c r="U141" s="184"/>
      <c r="V141" s="184"/>
    </row>
    <row r="142" spans="1:59">
      <c r="N142" s="184"/>
      <c r="O142" s="184"/>
      <c r="P142" s="184"/>
      <c r="Q142" s="184"/>
      <c r="R142" s="184"/>
      <c r="S142" s="184"/>
      <c r="T142" s="184"/>
      <c r="U142" s="184"/>
      <c r="V142" s="184"/>
    </row>
  </sheetData>
  <mergeCells count="5">
    <mergeCell ref="T3:U3"/>
    <mergeCell ref="V3:AA3"/>
    <mergeCell ref="AD3:AN3"/>
    <mergeCell ref="AO3:AT3"/>
    <mergeCell ref="AU3:AZ3"/>
  </mergeCells>
  <conditionalFormatting sqref="AB4:AB5">
    <cfRule type="cellIs" dxfId="92" priority="14" operator="equal">
      <formula>0</formula>
    </cfRule>
  </conditionalFormatting>
  <conditionalFormatting sqref="AE4 AM4">
    <cfRule type="cellIs" dxfId="91" priority="13" operator="equal">
      <formula>0</formula>
    </cfRule>
  </conditionalFormatting>
  <conditionalFormatting sqref="AN4">
    <cfRule type="cellIs" dxfId="90" priority="12" operator="equal">
      <formula>0</formula>
    </cfRule>
  </conditionalFormatting>
  <conditionalFormatting sqref="AP4">
    <cfRule type="cellIs" dxfId="89" priority="11" operator="equal">
      <formula>0</formula>
    </cfRule>
  </conditionalFormatting>
  <conditionalFormatting sqref="AQ4">
    <cfRule type="cellIs" dxfId="88" priority="10" operator="equal">
      <formula>0</formula>
    </cfRule>
  </conditionalFormatting>
  <conditionalFormatting sqref="AR4">
    <cfRule type="cellIs" dxfId="87" priority="9" operator="equal">
      <formula>0</formula>
    </cfRule>
  </conditionalFormatting>
  <conditionalFormatting sqref="BA4">
    <cfRule type="cellIs" dxfId="86" priority="8" operator="equal">
      <formula>0</formula>
    </cfRule>
  </conditionalFormatting>
  <conditionalFormatting sqref="U4">
    <cfRule type="cellIs" dxfId="85" priority="7" operator="equal">
      <formula>0</formula>
    </cfRule>
  </conditionalFormatting>
  <conditionalFormatting sqref="BB4">
    <cfRule type="cellIs" dxfId="84" priority="6" operator="equal">
      <formula>0</formula>
    </cfRule>
  </conditionalFormatting>
  <conditionalFormatting sqref="AF4">
    <cfRule type="cellIs" dxfId="83" priority="5" operator="equal">
      <formula>0</formula>
    </cfRule>
  </conditionalFormatting>
  <conditionalFormatting sqref="AG4">
    <cfRule type="cellIs" dxfId="82" priority="4" operator="equal">
      <formula>0</formula>
    </cfRule>
  </conditionalFormatting>
  <conditionalFormatting sqref="AV4">
    <cfRule type="cellIs" dxfId="81" priority="3" operator="equal">
      <formula>0</formula>
    </cfRule>
  </conditionalFormatting>
  <conditionalFormatting sqref="AW4">
    <cfRule type="cellIs" dxfId="80" priority="2" operator="equal">
      <formula>0</formula>
    </cfRule>
  </conditionalFormatting>
  <conditionalFormatting sqref="AX4">
    <cfRule type="cellIs" dxfId="79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40"/>
  <sheetViews>
    <sheetView showZeros="0" rightToLeft="1" tabSelected="1" zoomScaleNormal="100" workbookViewId="0">
      <pane xSplit="3" ySplit="4" topLeftCell="T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.33203125" defaultRowHeight="13.8"/>
  <cols>
    <col min="1" max="1" width="5.21875" style="308" customWidth="1"/>
    <col min="2" max="2" width="7.21875" style="308" customWidth="1"/>
    <col min="3" max="3" width="30.77734375" style="309" customWidth="1"/>
    <col min="4" max="6" width="9.6640625" style="310" hidden="1" customWidth="1"/>
    <col min="7" max="7" width="10.6640625" style="310" hidden="1" customWidth="1"/>
    <col min="8" max="8" width="11.33203125" style="310" hidden="1" customWidth="1"/>
    <col min="9" max="11" width="9.44140625" style="310" hidden="1" customWidth="1"/>
    <col min="12" max="15" width="9.6640625" style="310" hidden="1" customWidth="1"/>
    <col min="16" max="19" width="14" style="310" hidden="1" customWidth="1"/>
    <col min="20" max="20" width="12.77734375" style="310" customWidth="1"/>
    <col min="21" max="21" width="12.77734375" style="308" customWidth="1"/>
    <col min="22" max="22" width="9.44140625" style="308" hidden="1" customWidth="1"/>
    <col min="23" max="23" width="12.77734375" style="308" customWidth="1"/>
    <col min="24" max="26" width="14" style="308" hidden="1" customWidth="1"/>
    <col min="27" max="27" width="12.77734375" style="308" customWidth="1"/>
    <col min="28" max="28" width="33.6640625" style="309" hidden="1" customWidth="1"/>
    <col min="29" max="29" width="7.33203125" style="308" hidden="1" customWidth="1"/>
    <col min="30" max="38" width="13.6640625" style="306" hidden="1" customWidth="1"/>
    <col min="39" max="40" width="12.77734375" style="306" customWidth="1"/>
    <col min="41" max="41" width="14.88671875" style="306" hidden="1" customWidth="1"/>
    <col min="42" max="42" width="12.77734375" style="306" customWidth="1"/>
    <col min="43" max="44" width="13.6640625" style="306" hidden="1" customWidth="1"/>
    <col min="45" max="45" width="13.6640625" style="308" hidden="1" customWidth="1"/>
    <col min="46" max="46" width="12.77734375" style="308" customWidth="1"/>
    <col min="47" max="50" width="13.6640625" style="306" hidden="1" customWidth="1"/>
    <col min="51" max="52" width="13.6640625" style="308" hidden="1" customWidth="1"/>
    <col min="53" max="16384" width="8.33203125" style="308"/>
  </cols>
  <sheetData>
    <row r="1" spans="1:52" s="501" customFormat="1" ht="13.2" customHeight="1">
      <c r="A1" s="496"/>
      <c r="B1" s="496"/>
      <c r="C1" s="497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8"/>
      <c r="Y1" s="498"/>
      <c r="Z1" s="498"/>
      <c r="AA1" s="499"/>
      <c r="AB1" s="500"/>
      <c r="AC1" s="499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U1" s="306"/>
      <c r="AV1" s="306"/>
      <c r="AW1" s="306"/>
      <c r="AX1" s="306"/>
    </row>
    <row r="2" spans="1:52" s="501" customFormat="1" ht="18">
      <c r="A2" s="496" t="s">
        <v>1450</v>
      </c>
      <c r="B2" s="496"/>
      <c r="C2" s="497"/>
      <c r="D2" s="496"/>
      <c r="E2" s="502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503"/>
      <c r="Y2" s="503"/>
      <c r="Z2" s="503"/>
      <c r="AA2" s="503"/>
      <c r="AB2" s="503"/>
      <c r="AC2" s="503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U2" s="306"/>
      <c r="AV2" s="306"/>
      <c r="AW2" s="306"/>
      <c r="AX2" s="306"/>
    </row>
    <row r="3" spans="1:52" ht="32.25" customHeight="1">
      <c r="T3" s="622" t="s">
        <v>1426</v>
      </c>
      <c r="U3" s="622"/>
      <c r="W3" s="644" t="s">
        <v>83</v>
      </c>
      <c r="X3" s="645"/>
      <c r="Y3" s="645"/>
      <c r="Z3" s="645"/>
      <c r="AA3" s="646"/>
      <c r="AD3" s="644" t="s">
        <v>207</v>
      </c>
      <c r="AE3" s="645"/>
      <c r="AF3" s="645"/>
      <c r="AG3" s="645"/>
      <c r="AH3" s="645"/>
      <c r="AI3" s="645"/>
      <c r="AJ3" s="645"/>
      <c r="AK3" s="645"/>
      <c r="AL3" s="645"/>
      <c r="AM3" s="645"/>
      <c r="AN3" s="646"/>
      <c r="AO3" s="647" t="s">
        <v>1174</v>
      </c>
      <c r="AP3" s="648"/>
      <c r="AQ3" s="648"/>
      <c r="AR3" s="648"/>
      <c r="AS3" s="648"/>
      <c r="AT3" s="649"/>
      <c r="AU3" s="622" t="s">
        <v>953</v>
      </c>
      <c r="AV3" s="622"/>
      <c r="AW3" s="622"/>
      <c r="AX3" s="622"/>
      <c r="AY3" s="622"/>
      <c r="AZ3" s="622"/>
    </row>
    <row r="4" spans="1:52" s="306" customFormat="1" ht="58.95" customHeight="1">
      <c r="A4" s="144" t="s">
        <v>0</v>
      </c>
      <c r="B4" s="305" t="s">
        <v>1</v>
      </c>
      <c r="C4" s="305" t="s">
        <v>2</v>
      </c>
      <c r="D4" s="305" t="s">
        <v>3</v>
      </c>
      <c r="E4" s="305" t="s">
        <v>4</v>
      </c>
      <c r="F4" s="305" t="s">
        <v>5</v>
      </c>
      <c r="G4" s="305" t="s">
        <v>6</v>
      </c>
      <c r="H4" s="305" t="s">
        <v>7</v>
      </c>
      <c r="I4" s="305" t="s">
        <v>9</v>
      </c>
      <c r="J4" s="305" t="s">
        <v>132</v>
      </c>
      <c r="K4" s="305" t="s">
        <v>10</v>
      </c>
      <c r="L4" s="305" t="s">
        <v>11</v>
      </c>
      <c r="M4" s="2" t="s">
        <v>658</v>
      </c>
      <c r="N4" s="2" t="s">
        <v>659</v>
      </c>
      <c r="O4" s="2" t="s">
        <v>660</v>
      </c>
      <c r="P4" s="2" t="s">
        <v>12</v>
      </c>
      <c r="Q4" s="2" t="s">
        <v>661</v>
      </c>
      <c r="R4" s="2" t="s">
        <v>662</v>
      </c>
      <c r="S4" s="2" t="s">
        <v>663</v>
      </c>
      <c r="T4" s="2" t="s">
        <v>664</v>
      </c>
      <c r="U4" s="2" t="s">
        <v>665</v>
      </c>
      <c r="V4" s="305" t="s">
        <v>13</v>
      </c>
      <c r="W4" s="305" t="s">
        <v>14</v>
      </c>
      <c r="X4" s="305" t="s">
        <v>15</v>
      </c>
      <c r="Y4" s="305" t="s">
        <v>225</v>
      </c>
      <c r="Z4" s="305" t="s">
        <v>575</v>
      </c>
      <c r="AA4" s="305" t="s">
        <v>79</v>
      </c>
      <c r="AB4" s="504" t="s">
        <v>257</v>
      </c>
      <c r="AC4" s="305" t="s">
        <v>16</v>
      </c>
      <c r="AD4" s="481" t="s">
        <v>954</v>
      </c>
      <c r="AE4" s="481" t="s">
        <v>955</v>
      </c>
      <c r="AF4" s="481" t="s">
        <v>956</v>
      </c>
      <c r="AG4" s="481" t="s">
        <v>957</v>
      </c>
      <c r="AH4" s="481" t="s">
        <v>958</v>
      </c>
      <c r="AI4" s="481" t="s">
        <v>959</v>
      </c>
      <c r="AJ4" s="481" t="s">
        <v>960</v>
      </c>
      <c r="AK4" s="481" t="s">
        <v>961</v>
      </c>
      <c r="AL4" s="481" t="s">
        <v>962</v>
      </c>
      <c r="AM4" s="19" t="s">
        <v>1173</v>
      </c>
      <c r="AN4" s="19" t="s">
        <v>635</v>
      </c>
      <c r="AO4" s="167" t="s">
        <v>13</v>
      </c>
      <c r="AP4" s="167" t="s">
        <v>14</v>
      </c>
      <c r="AQ4" s="167" t="s">
        <v>15</v>
      </c>
      <c r="AR4" s="167" t="s">
        <v>225</v>
      </c>
      <c r="AS4" s="167" t="s">
        <v>575</v>
      </c>
      <c r="AT4" s="15" t="s">
        <v>79</v>
      </c>
      <c r="AU4" s="167" t="s">
        <v>13</v>
      </c>
      <c r="AV4" s="167" t="s">
        <v>14</v>
      </c>
      <c r="AW4" s="167" t="s">
        <v>15</v>
      </c>
      <c r="AX4" s="167" t="s">
        <v>225</v>
      </c>
      <c r="AY4" s="167" t="s">
        <v>575</v>
      </c>
      <c r="AZ4" s="15" t="s">
        <v>79</v>
      </c>
    </row>
    <row r="5" spans="1:52" s="304" customFormat="1" ht="31.95" customHeight="1">
      <c r="A5" s="301">
        <v>1</v>
      </c>
      <c r="B5" s="301">
        <v>1776</v>
      </c>
      <c r="C5" s="301" t="s">
        <v>52</v>
      </c>
      <c r="D5" s="302">
        <f>2710000-245000</f>
        <v>2465000</v>
      </c>
      <c r="E5" s="302">
        <v>2100000</v>
      </c>
      <c r="F5" s="302">
        <f t="shared" ref="F5:F27" si="0">D5-E5</f>
        <v>365000</v>
      </c>
      <c r="G5" s="302">
        <v>1555000</v>
      </c>
      <c r="H5" s="302">
        <v>1165623</v>
      </c>
      <c r="I5" s="302"/>
      <c r="J5" s="302">
        <v>248387</v>
      </c>
      <c r="K5" s="302">
        <f t="shared" ref="K5:K23" si="1">I5+J5</f>
        <v>248387</v>
      </c>
      <c r="L5" s="302">
        <f t="shared" ref="L5:L26" si="2">H5+K5</f>
        <v>1414010</v>
      </c>
      <c r="M5" s="302">
        <f>P5+S5</f>
        <v>440990</v>
      </c>
      <c r="N5" s="302">
        <f>610000-100000</f>
        <v>510000</v>
      </c>
      <c r="O5" s="302">
        <f t="shared" ref="O5:O23" si="3">D5-M5-N5-L5</f>
        <v>100000</v>
      </c>
      <c r="P5" s="302">
        <f t="shared" ref="P5:P26" si="4">G5-L5</f>
        <v>140990</v>
      </c>
      <c r="Q5" s="302">
        <v>300000</v>
      </c>
      <c r="R5" s="302"/>
      <c r="S5" s="302">
        <f t="shared" ref="S5:S26" si="5">SUM(Q5:R5)</f>
        <v>300000</v>
      </c>
      <c r="T5" s="302">
        <v>0</v>
      </c>
      <c r="U5" s="302">
        <v>510000</v>
      </c>
      <c r="V5" s="302"/>
      <c r="W5" s="302">
        <v>510000</v>
      </c>
      <c r="X5" s="302"/>
      <c r="Y5" s="302"/>
      <c r="Z5" s="302"/>
      <c r="AA5" s="303"/>
      <c r="AB5" s="307" t="s">
        <v>582</v>
      </c>
      <c r="AC5" s="301">
        <v>810000</v>
      </c>
      <c r="AD5" s="302"/>
      <c r="AE5" s="302"/>
      <c r="AF5" s="302"/>
      <c r="AG5" s="302"/>
      <c r="AH5" s="302"/>
      <c r="AI5" s="302"/>
      <c r="AJ5" s="302">
        <v>300000</v>
      </c>
      <c r="AK5" s="302"/>
      <c r="AL5" s="456">
        <v>210000</v>
      </c>
      <c r="AM5" s="302">
        <v>510000</v>
      </c>
      <c r="AN5" s="302">
        <v>0</v>
      </c>
      <c r="AO5" s="302">
        <v>0</v>
      </c>
      <c r="AP5" s="302">
        <v>510000</v>
      </c>
      <c r="AQ5" s="302">
        <v>0</v>
      </c>
      <c r="AR5" s="302"/>
      <c r="AS5" s="302">
        <v>0</v>
      </c>
      <c r="AT5" s="302"/>
      <c r="AU5" s="302">
        <f t="shared" ref="AU5" si="6">AK5-AY5</f>
        <v>0</v>
      </c>
      <c r="AV5" s="302">
        <f>AL5-AZ5</f>
        <v>210000</v>
      </c>
      <c r="AW5" s="302"/>
      <c r="AX5" s="302"/>
      <c r="AY5" s="302"/>
      <c r="AZ5" s="302"/>
    </row>
    <row r="6" spans="1:52" s="304" customFormat="1" ht="31.95" customHeight="1">
      <c r="A6" s="301">
        <f t="shared" ref="A6:A27" si="7">A5+1</f>
        <v>2</v>
      </c>
      <c r="B6" s="505">
        <v>1930</v>
      </c>
      <c r="C6" s="301" t="s">
        <v>116</v>
      </c>
      <c r="D6" s="302">
        <f>3106000-576000-854000</f>
        <v>1676000</v>
      </c>
      <c r="E6" s="302">
        <v>2530000</v>
      </c>
      <c r="F6" s="302">
        <f t="shared" si="0"/>
        <v>-854000</v>
      </c>
      <c r="G6" s="302">
        <f>1580000+16000</f>
        <v>1596000</v>
      </c>
      <c r="H6" s="302">
        <v>1093753</v>
      </c>
      <c r="I6" s="302">
        <v>0</v>
      </c>
      <c r="J6" s="302">
        <v>476554</v>
      </c>
      <c r="K6" s="302">
        <f t="shared" si="1"/>
        <v>476554</v>
      </c>
      <c r="L6" s="302">
        <f t="shared" si="2"/>
        <v>1570307</v>
      </c>
      <c r="M6" s="302">
        <f>P6+S6</f>
        <v>105693</v>
      </c>
      <c r="N6" s="302">
        <f>576000-100000-476000</f>
        <v>0</v>
      </c>
      <c r="O6" s="302">
        <f t="shared" si="3"/>
        <v>0</v>
      </c>
      <c r="P6" s="302">
        <f t="shared" si="4"/>
        <v>25693</v>
      </c>
      <c r="Q6" s="302"/>
      <c r="R6" s="302">
        <v>80000</v>
      </c>
      <c r="S6" s="302">
        <f t="shared" si="5"/>
        <v>80000</v>
      </c>
      <c r="T6" s="302">
        <v>0</v>
      </c>
      <c r="U6" s="302">
        <v>0</v>
      </c>
      <c r="V6" s="302"/>
      <c r="W6" s="302">
        <v>0</v>
      </c>
      <c r="X6" s="302"/>
      <c r="Y6" s="302"/>
      <c r="Z6" s="302"/>
      <c r="AA6" s="302"/>
      <c r="AB6" s="301" t="s">
        <v>1515</v>
      </c>
      <c r="AC6" s="301">
        <v>810000</v>
      </c>
      <c r="AD6" s="302"/>
      <c r="AE6" s="302"/>
      <c r="AF6" s="302"/>
      <c r="AG6" s="302"/>
      <c r="AH6" s="302"/>
      <c r="AI6" s="302"/>
      <c r="AJ6" s="302"/>
      <c r="AK6" s="302"/>
      <c r="AL6" s="302"/>
      <c r="AM6" s="302">
        <v>0</v>
      </c>
      <c r="AN6" s="302">
        <v>0</v>
      </c>
      <c r="AO6" s="302"/>
      <c r="AP6" s="302">
        <v>0</v>
      </c>
      <c r="AQ6" s="302"/>
      <c r="AR6" s="302"/>
      <c r="AS6" s="302"/>
      <c r="AT6" s="302"/>
      <c r="AU6" s="302"/>
      <c r="AV6" s="302">
        <f t="shared" ref="AV6:AV27" si="8">AL6-AZ6</f>
        <v>0</v>
      </c>
      <c r="AW6" s="302"/>
      <c r="AX6" s="302"/>
      <c r="AY6" s="302"/>
      <c r="AZ6" s="302"/>
    </row>
    <row r="7" spans="1:52" s="304" customFormat="1" ht="31.95" customHeight="1">
      <c r="A7" s="301">
        <f t="shared" si="7"/>
        <v>3</v>
      </c>
      <c r="B7" s="505">
        <v>1977</v>
      </c>
      <c r="C7" s="301" t="s">
        <v>1022</v>
      </c>
      <c r="D7" s="302">
        <v>44100</v>
      </c>
      <c r="E7" s="302">
        <v>44100</v>
      </c>
      <c r="F7" s="302">
        <f t="shared" si="0"/>
        <v>0</v>
      </c>
      <c r="G7" s="302">
        <v>44100</v>
      </c>
      <c r="H7" s="302">
        <v>43807</v>
      </c>
      <c r="I7" s="302">
        <v>0</v>
      </c>
      <c r="J7" s="302">
        <v>0</v>
      </c>
      <c r="K7" s="302">
        <f t="shared" si="1"/>
        <v>0</v>
      </c>
      <c r="L7" s="302">
        <f t="shared" si="2"/>
        <v>43807</v>
      </c>
      <c r="M7" s="302">
        <f>P7+S7</f>
        <v>293</v>
      </c>
      <c r="N7" s="302"/>
      <c r="O7" s="302">
        <f t="shared" si="3"/>
        <v>0</v>
      </c>
      <c r="P7" s="302">
        <f t="shared" si="4"/>
        <v>293</v>
      </c>
      <c r="Q7" s="302"/>
      <c r="R7" s="302"/>
      <c r="S7" s="302">
        <f t="shared" si="5"/>
        <v>0</v>
      </c>
      <c r="T7" s="302">
        <v>0</v>
      </c>
      <c r="U7" s="302">
        <v>0</v>
      </c>
      <c r="V7" s="302"/>
      <c r="W7" s="302">
        <v>44100</v>
      </c>
      <c r="X7" s="302"/>
      <c r="Y7" s="302"/>
      <c r="Z7" s="302"/>
      <c r="AA7" s="303">
        <v>-44100</v>
      </c>
      <c r="AB7" s="301" t="s">
        <v>1000</v>
      </c>
      <c r="AC7" s="301">
        <v>810000</v>
      </c>
      <c r="AD7" s="302"/>
      <c r="AE7" s="302"/>
      <c r="AF7" s="302"/>
      <c r="AG7" s="302"/>
      <c r="AH7" s="302"/>
      <c r="AI7" s="302"/>
      <c r="AJ7" s="302"/>
      <c r="AK7" s="302"/>
      <c r="AL7" s="506"/>
      <c r="AM7" s="302">
        <v>0</v>
      </c>
      <c r="AN7" s="302">
        <v>0</v>
      </c>
      <c r="AO7" s="302"/>
      <c r="AP7" s="302">
        <v>44100</v>
      </c>
      <c r="AQ7" s="302"/>
      <c r="AR7" s="302"/>
      <c r="AS7" s="302"/>
      <c r="AT7" s="302">
        <v>-44100</v>
      </c>
      <c r="AU7" s="302"/>
      <c r="AV7" s="302">
        <f t="shared" si="8"/>
        <v>44100</v>
      </c>
      <c r="AW7" s="302"/>
      <c r="AX7" s="302"/>
      <c r="AY7" s="302"/>
      <c r="AZ7" s="302">
        <v>-44100</v>
      </c>
    </row>
    <row r="8" spans="1:52" s="304" customFormat="1" ht="31.95" customHeight="1">
      <c r="A8" s="301">
        <f t="shared" si="7"/>
        <v>4</v>
      </c>
      <c r="B8" s="505">
        <v>1987</v>
      </c>
      <c r="C8" s="301" t="s">
        <v>1023</v>
      </c>
      <c r="D8" s="302">
        <v>120000</v>
      </c>
      <c r="E8" s="302">
        <v>120000</v>
      </c>
      <c r="F8" s="302">
        <f t="shared" si="0"/>
        <v>0</v>
      </c>
      <c r="G8" s="302">
        <v>120000</v>
      </c>
      <c r="H8" s="302">
        <v>77677</v>
      </c>
      <c r="I8" s="302">
        <v>0</v>
      </c>
      <c r="J8" s="302">
        <v>0</v>
      </c>
      <c r="K8" s="302">
        <f t="shared" si="1"/>
        <v>0</v>
      </c>
      <c r="L8" s="302">
        <f t="shared" si="2"/>
        <v>77677</v>
      </c>
      <c r="M8" s="302">
        <f>P8+S8</f>
        <v>42323</v>
      </c>
      <c r="N8" s="302"/>
      <c r="O8" s="302">
        <f t="shared" si="3"/>
        <v>0</v>
      </c>
      <c r="P8" s="302">
        <f t="shared" si="4"/>
        <v>42323</v>
      </c>
      <c r="Q8" s="302"/>
      <c r="R8" s="302"/>
      <c r="S8" s="302">
        <f t="shared" si="5"/>
        <v>0</v>
      </c>
      <c r="T8" s="302">
        <v>0</v>
      </c>
      <c r="U8" s="302">
        <v>0</v>
      </c>
      <c r="V8" s="302"/>
      <c r="W8" s="302">
        <v>0</v>
      </c>
      <c r="X8" s="302"/>
      <c r="Y8" s="302"/>
      <c r="Z8" s="302"/>
      <c r="AA8" s="303"/>
      <c r="AB8" s="301" t="s">
        <v>428</v>
      </c>
      <c r="AC8" s="301">
        <v>810000</v>
      </c>
      <c r="AD8" s="302"/>
      <c r="AE8" s="302"/>
      <c r="AF8" s="302"/>
      <c r="AG8" s="302"/>
      <c r="AH8" s="302"/>
      <c r="AI8" s="302"/>
      <c r="AJ8" s="302"/>
      <c r="AK8" s="302"/>
      <c r="AL8" s="302"/>
      <c r="AM8" s="302">
        <v>0</v>
      </c>
      <c r="AN8" s="302">
        <v>0</v>
      </c>
      <c r="AO8" s="302"/>
      <c r="AP8" s="302">
        <v>0</v>
      </c>
      <c r="AQ8" s="302"/>
      <c r="AR8" s="302"/>
      <c r="AS8" s="302"/>
      <c r="AT8" s="302"/>
      <c r="AU8" s="302"/>
      <c r="AV8" s="302">
        <f t="shared" si="8"/>
        <v>0</v>
      </c>
      <c r="AW8" s="302"/>
      <c r="AX8" s="302"/>
      <c r="AY8" s="302"/>
      <c r="AZ8" s="302"/>
    </row>
    <row r="9" spans="1:52" s="304" customFormat="1" ht="31.95" customHeight="1">
      <c r="A9" s="301">
        <f t="shared" si="7"/>
        <v>5</v>
      </c>
      <c r="B9" s="505">
        <v>2033</v>
      </c>
      <c r="C9" s="301" t="s">
        <v>292</v>
      </c>
      <c r="D9" s="302">
        <f>900000-200000</f>
        <v>700000</v>
      </c>
      <c r="E9" s="302">
        <v>900000</v>
      </c>
      <c r="F9" s="302">
        <f t="shared" si="0"/>
        <v>-200000</v>
      </c>
      <c r="G9" s="302">
        <v>900000</v>
      </c>
      <c r="H9" s="302">
        <v>655856</v>
      </c>
      <c r="I9" s="302">
        <v>0</v>
      </c>
      <c r="J9" s="302">
        <v>0</v>
      </c>
      <c r="K9" s="302">
        <f t="shared" si="1"/>
        <v>0</v>
      </c>
      <c r="L9" s="302">
        <f t="shared" si="2"/>
        <v>655856</v>
      </c>
      <c r="M9" s="302">
        <f>P9+S9-200000</f>
        <v>44144</v>
      </c>
      <c r="N9" s="302"/>
      <c r="O9" s="302">
        <f t="shared" si="3"/>
        <v>0</v>
      </c>
      <c r="P9" s="302">
        <f t="shared" si="4"/>
        <v>244144</v>
      </c>
      <c r="Q9" s="302"/>
      <c r="R9" s="302"/>
      <c r="S9" s="302">
        <f t="shared" si="5"/>
        <v>0</v>
      </c>
      <c r="T9" s="302">
        <v>200000</v>
      </c>
      <c r="U9" s="302">
        <v>-200000</v>
      </c>
      <c r="V9" s="302"/>
      <c r="W9" s="302">
        <v>-200000</v>
      </c>
      <c r="X9" s="302"/>
      <c r="Y9" s="302"/>
      <c r="Z9" s="302"/>
      <c r="AA9" s="303"/>
      <c r="AB9" s="301" t="s">
        <v>293</v>
      </c>
      <c r="AC9" s="301">
        <v>810000</v>
      </c>
      <c r="AD9" s="302"/>
      <c r="AE9" s="302"/>
      <c r="AF9" s="302"/>
      <c r="AG9" s="302"/>
      <c r="AH9" s="302">
        <v>-200000</v>
      </c>
      <c r="AI9" s="302"/>
      <c r="AJ9" s="302"/>
      <c r="AK9" s="302"/>
      <c r="AL9" s="302"/>
      <c r="AM9" s="302">
        <v>-200000</v>
      </c>
      <c r="AN9" s="302">
        <v>0</v>
      </c>
      <c r="AO9" s="302"/>
      <c r="AP9" s="302">
        <v>-200000</v>
      </c>
      <c r="AQ9" s="302"/>
      <c r="AR9" s="302"/>
      <c r="AS9" s="302"/>
      <c r="AT9" s="302"/>
      <c r="AU9" s="302"/>
      <c r="AV9" s="302">
        <f t="shared" si="8"/>
        <v>0</v>
      </c>
      <c r="AW9" s="302"/>
      <c r="AX9" s="302"/>
      <c r="AY9" s="302"/>
      <c r="AZ9" s="302"/>
    </row>
    <row r="10" spans="1:52" s="304" customFormat="1" ht="31.95" customHeight="1">
      <c r="A10" s="301">
        <f t="shared" si="7"/>
        <v>6</v>
      </c>
      <c r="B10" s="505">
        <v>2034</v>
      </c>
      <c r="C10" s="301" t="s">
        <v>294</v>
      </c>
      <c r="D10" s="302">
        <f>3670000-770000</f>
        <v>2900000</v>
      </c>
      <c r="E10" s="302">
        <v>3670000</v>
      </c>
      <c r="F10" s="302">
        <f t="shared" si="0"/>
        <v>-770000</v>
      </c>
      <c r="G10" s="302">
        <v>3000000</v>
      </c>
      <c r="H10" s="302">
        <v>2361271</v>
      </c>
      <c r="I10" s="302">
        <v>0</v>
      </c>
      <c r="J10" s="302">
        <v>274260</v>
      </c>
      <c r="K10" s="302">
        <f t="shared" si="1"/>
        <v>274260</v>
      </c>
      <c r="L10" s="302">
        <f t="shared" si="2"/>
        <v>2635531</v>
      </c>
      <c r="M10" s="302">
        <f t="shared" ref="M10:M26" si="9">P10+S10</f>
        <v>264469</v>
      </c>
      <c r="N10" s="302"/>
      <c r="O10" s="302">
        <f t="shared" si="3"/>
        <v>0</v>
      </c>
      <c r="P10" s="302">
        <f t="shared" si="4"/>
        <v>364469</v>
      </c>
      <c r="Q10" s="302"/>
      <c r="R10" s="302">
        <v>-100000</v>
      </c>
      <c r="S10" s="302">
        <f t="shared" si="5"/>
        <v>-100000</v>
      </c>
      <c r="T10" s="302">
        <v>0</v>
      </c>
      <c r="U10" s="302">
        <v>0</v>
      </c>
      <c r="V10" s="302"/>
      <c r="W10" s="302">
        <v>0</v>
      </c>
      <c r="X10" s="302"/>
      <c r="Y10" s="302"/>
      <c r="Z10" s="302"/>
      <c r="AA10" s="303"/>
      <c r="AB10" s="301" t="s">
        <v>1516</v>
      </c>
      <c r="AC10" s="301">
        <v>810000</v>
      </c>
      <c r="AD10" s="302"/>
      <c r="AE10" s="302"/>
      <c r="AF10" s="302"/>
      <c r="AG10" s="302"/>
      <c r="AH10" s="302"/>
      <c r="AI10" s="302"/>
      <c r="AJ10" s="302"/>
      <c r="AK10" s="302"/>
      <c r="AL10" s="302"/>
      <c r="AM10" s="302">
        <v>0</v>
      </c>
      <c r="AN10" s="302">
        <v>0</v>
      </c>
      <c r="AO10" s="302"/>
      <c r="AP10" s="302">
        <v>0</v>
      </c>
      <c r="AQ10" s="302"/>
      <c r="AR10" s="302"/>
      <c r="AS10" s="302"/>
      <c r="AT10" s="302"/>
      <c r="AU10" s="302"/>
      <c r="AV10" s="302">
        <f t="shared" si="8"/>
        <v>0</v>
      </c>
      <c r="AW10" s="302"/>
      <c r="AX10" s="302"/>
      <c r="AY10" s="302"/>
      <c r="AZ10" s="302"/>
    </row>
    <row r="11" spans="1:52" s="304" customFormat="1" ht="31.95" customHeight="1">
      <c r="A11" s="301">
        <f t="shared" si="7"/>
        <v>7</v>
      </c>
      <c r="B11" s="505">
        <v>2070</v>
      </c>
      <c r="C11" s="301" t="s">
        <v>1024</v>
      </c>
      <c r="D11" s="302">
        <v>500000</v>
      </c>
      <c r="E11" s="302">
        <v>500000</v>
      </c>
      <c r="F11" s="302">
        <f t="shared" si="0"/>
        <v>0</v>
      </c>
      <c r="G11" s="302">
        <v>500000</v>
      </c>
      <c r="H11" s="302">
        <v>454742</v>
      </c>
      <c r="I11" s="302">
        <v>0</v>
      </c>
      <c r="J11" s="302">
        <v>9187</v>
      </c>
      <c r="K11" s="302">
        <f t="shared" si="1"/>
        <v>9187</v>
      </c>
      <c r="L11" s="302">
        <f t="shared" si="2"/>
        <v>463929</v>
      </c>
      <c r="M11" s="302">
        <f t="shared" si="9"/>
        <v>36071</v>
      </c>
      <c r="N11" s="302"/>
      <c r="O11" s="302">
        <f t="shared" si="3"/>
        <v>0</v>
      </c>
      <c r="P11" s="302">
        <f t="shared" si="4"/>
        <v>36071</v>
      </c>
      <c r="Q11" s="302"/>
      <c r="R11" s="302"/>
      <c r="S11" s="302">
        <f t="shared" si="5"/>
        <v>0</v>
      </c>
      <c r="T11" s="302">
        <v>0</v>
      </c>
      <c r="U11" s="302">
        <v>0</v>
      </c>
      <c r="V11" s="302"/>
      <c r="W11" s="302">
        <v>0</v>
      </c>
      <c r="X11" s="302"/>
      <c r="Y11" s="302"/>
      <c r="Z11" s="302"/>
      <c r="AA11" s="303"/>
      <c r="AB11" s="301" t="s">
        <v>1025</v>
      </c>
      <c r="AC11" s="301">
        <v>810000</v>
      </c>
      <c r="AD11" s="302"/>
      <c r="AE11" s="302"/>
      <c r="AF11" s="302"/>
      <c r="AG11" s="302"/>
      <c r="AH11" s="302"/>
      <c r="AI11" s="302"/>
      <c r="AJ11" s="302"/>
      <c r="AK11" s="302"/>
      <c r="AL11" s="302"/>
      <c r="AM11" s="302">
        <v>0</v>
      </c>
      <c r="AN11" s="302">
        <v>0</v>
      </c>
      <c r="AO11" s="302"/>
      <c r="AP11" s="302">
        <v>0</v>
      </c>
      <c r="AQ11" s="302"/>
      <c r="AR11" s="302"/>
      <c r="AS11" s="302"/>
      <c r="AT11" s="302"/>
      <c r="AU11" s="302"/>
      <c r="AV11" s="302">
        <f t="shared" si="8"/>
        <v>0</v>
      </c>
      <c r="AW11" s="302"/>
      <c r="AX11" s="302"/>
      <c r="AY11" s="302"/>
      <c r="AZ11" s="302"/>
    </row>
    <row r="12" spans="1:52" s="304" customFormat="1" ht="31.95" customHeight="1">
      <c r="A12" s="301">
        <f t="shared" si="7"/>
        <v>8</v>
      </c>
      <c r="B12" s="307">
        <v>2090</v>
      </c>
      <c r="C12" s="301" t="s">
        <v>296</v>
      </c>
      <c r="D12" s="302">
        <v>350000</v>
      </c>
      <c r="E12" s="302">
        <v>350000</v>
      </c>
      <c r="F12" s="302">
        <f t="shared" si="0"/>
        <v>0</v>
      </c>
      <c r="G12" s="302">
        <v>350000</v>
      </c>
      <c r="H12" s="302">
        <v>261240</v>
      </c>
      <c r="I12" s="302">
        <v>0</v>
      </c>
      <c r="J12" s="302">
        <v>5903</v>
      </c>
      <c r="K12" s="302">
        <f t="shared" si="1"/>
        <v>5903</v>
      </c>
      <c r="L12" s="302">
        <f t="shared" si="2"/>
        <v>267143</v>
      </c>
      <c r="M12" s="302">
        <f t="shared" si="9"/>
        <v>82857</v>
      </c>
      <c r="N12" s="302"/>
      <c r="O12" s="302">
        <f t="shared" si="3"/>
        <v>0</v>
      </c>
      <c r="P12" s="302">
        <f t="shared" si="4"/>
        <v>82857</v>
      </c>
      <c r="Q12" s="302"/>
      <c r="R12" s="302"/>
      <c r="S12" s="302">
        <f t="shared" si="5"/>
        <v>0</v>
      </c>
      <c r="T12" s="302">
        <v>0</v>
      </c>
      <c r="U12" s="302">
        <v>0</v>
      </c>
      <c r="V12" s="302"/>
      <c r="W12" s="302">
        <v>0</v>
      </c>
      <c r="X12" s="302"/>
      <c r="Y12" s="302"/>
      <c r="Z12" s="302"/>
      <c r="AA12" s="303"/>
      <c r="AB12" s="301" t="s">
        <v>628</v>
      </c>
      <c r="AC12" s="301">
        <v>810000</v>
      </c>
      <c r="AD12" s="302"/>
      <c r="AE12" s="302"/>
      <c r="AF12" s="302"/>
      <c r="AG12" s="302"/>
      <c r="AH12" s="302"/>
      <c r="AI12" s="302"/>
      <c r="AJ12" s="302"/>
      <c r="AK12" s="302"/>
      <c r="AL12" s="302"/>
      <c r="AM12" s="302">
        <v>0</v>
      </c>
      <c r="AN12" s="302">
        <v>0</v>
      </c>
      <c r="AO12" s="302"/>
      <c r="AP12" s="302">
        <v>0</v>
      </c>
      <c r="AQ12" s="302"/>
      <c r="AR12" s="302"/>
      <c r="AS12" s="302"/>
      <c r="AT12" s="302"/>
      <c r="AU12" s="302"/>
      <c r="AV12" s="302">
        <f t="shared" si="8"/>
        <v>0</v>
      </c>
      <c r="AW12" s="302"/>
      <c r="AX12" s="302"/>
      <c r="AY12" s="302"/>
      <c r="AZ12" s="302"/>
    </row>
    <row r="13" spans="1:52" s="304" customFormat="1" ht="31.95" customHeight="1">
      <c r="A13" s="301">
        <f t="shared" si="7"/>
        <v>9</v>
      </c>
      <c r="B13" s="307">
        <v>2091</v>
      </c>
      <c r="C13" s="301" t="s">
        <v>297</v>
      </c>
      <c r="D13" s="302">
        <f>1500000-80000-300000</f>
        <v>1120000</v>
      </c>
      <c r="E13" s="302">
        <v>1500000</v>
      </c>
      <c r="F13" s="302">
        <f t="shared" si="0"/>
        <v>-380000</v>
      </c>
      <c r="G13" s="302">
        <v>80000</v>
      </c>
      <c r="H13" s="302">
        <v>0</v>
      </c>
      <c r="I13" s="302">
        <v>0</v>
      </c>
      <c r="J13" s="302">
        <v>0</v>
      </c>
      <c r="K13" s="302">
        <f t="shared" si="1"/>
        <v>0</v>
      </c>
      <c r="L13" s="302">
        <f t="shared" si="2"/>
        <v>0</v>
      </c>
      <c r="M13" s="302">
        <f t="shared" si="9"/>
        <v>80000</v>
      </c>
      <c r="N13" s="302">
        <f>1120000-80000</f>
        <v>1040000</v>
      </c>
      <c r="O13" s="302">
        <f t="shared" si="3"/>
        <v>0</v>
      </c>
      <c r="P13" s="302">
        <f t="shared" si="4"/>
        <v>80000</v>
      </c>
      <c r="Q13" s="302"/>
      <c r="R13" s="302"/>
      <c r="S13" s="302">
        <f t="shared" si="5"/>
        <v>0</v>
      </c>
      <c r="T13" s="302">
        <v>0</v>
      </c>
      <c r="U13" s="302">
        <v>1040000</v>
      </c>
      <c r="V13" s="302"/>
      <c r="W13" s="302">
        <v>0</v>
      </c>
      <c r="X13" s="302"/>
      <c r="Y13" s="302"/>
      <c r="Z13" s="302"/>
      <c r="AA13" s="303">
        <v>1040000</v>
      </c>
      <c r="AB13" s="301" t="s">
        <v>589</v>
      </c>
      <c r="AC13" s="301">
        <v>810000</v>
      </c>
      <c r="AD13" s="302"/>
      <c r="AE13" s="302"/>
      <c r="AF13" s="302"/>
      <c r="AG13" s="302">
        <v>80000</v>
      </c>
      <c r="AH13" s="302"/>
      <c r="AI13" s="302"/>
      <c r="AJ13" s="302"/>
      <c r="AK13" s="302"/>
      <c r="AL13" s="302"/>
      <c r="AM13" s="302">
        <v>80000</v>
      </c>
      <c r="AN13" s="302">
        <v>960000</v>
      </c>
      <c r="AO13" s="302"/>
      <c r="AP13" s="302">
        <v>0</v>
      </c>
      <c r="AQ13" s="302"/>
      <c r="AR13" s="302"/>
      <c r="AS13" s="302"/>
      <c r="AT13" s="302">
        <v>80000</v>
      </c>
      <c r="AU13" s="302"/>
      <c r="AV13" s="302">
        <f t="shared" si="8"/>
        <v>0</v>
      </c>
      <c r="AW13" s="302"/>
      <c r="AX13" s="302"/>
      <c r="AY13" s="302"/>
      <c r="AZ13" s="302"/>
    </row>
    <row r="14" spans="1:52" s="304" customFormat="1" ht="31.95" customHeight="1">
      <c r="A14" s="301">
        <f t="shared" si="7"/>
        <v>10</v>
      </c>
      <c r="B14" s="307">
        <v>2092</v>
      </c>
      <c r="C14" s="301" t="s">
        <v>357</v>
      </c>
      <c r="D14" s="302">
        <v>4050720</v>
      </c>
      <c r="E14" s="302">
        <v>4050720</v>
      </c>
      <c r="F14" s="302">
        <f t="shared" si="0"/>
        <v>0</v>
      </c>
      <c r="G14" s="302">
        <v>4050720</v>
      </c>
      <c r="H14" s="302">
        <v>3121181</v>
      </c>
      <c r="I14" s="302">
        <v>173897</v>
      </c>
      <c r="J14" s="302">
        <v>27304</v>
      </c>
      <c r="K14" s="302">
        <f t="shared" si="1"/>
        <v>201201</v>
      </c>
      <c r="L14" s="302">
        <f t="shared" si="2"/>
        <v>3322382</v>
      </c>
      <c r="M14" s="302">
        <f t="shared" si="9"/>
        <v>728338</v>
      </c>
      <c r="N14" s="302"/>
      <c r="O14" s="302">
        <f t="shared" si="3"/>
        <v>0</v>
      </c>
      <c r="P14" s="302">
        <f t="shared" si="4"/>
        <v>728338</v>
      </c>
      <c r="Q14" s="302"/>
      <c r="R14" s="302"/>
      <c r="S14" s="302">
        <f t="shared" si="5"/>
        <v>0</v>
      </c>
      <c r="T14" s="302">
        <v>0</v>
      </c>
      <c r="U14" s="302">
        <v>0</v>
      </c>
      <c r="V14" s="302"/>
      <c r="W14" s="302">
        <v>0</v>
      </c>
      <c r="X14" s="302"/>
      <c r="Y14" s="302"/>
      <c r="Z14" s="302"/>
      <c r="AA14" s="303"/>
      <c r="AB14" s="301" t="s">
        <v>358</v>
      </c>
      <c r="AC14" s="301">
        <v>810000</v>
      </c>
      <c r="AD14" s="302"/>
      <c r="AE14" s="302"/>
      <c r="AF14" s="302"/>
      <c r="AG14" s="302"/>
      <c r="AH14" s="302"/>
      <c r="AI14" s="302"/>
      <c r="AJ14" s="302"/>
      <c r="AK14" s="302"/>
      <c r="AL14" s="302"/>
      <c r="AM14" s="302">
        <v>0</v>
      </c>
      <c r="AN14" s="302">
        <v>0</v>
      </c>
      <c r="AO14" s="302"/>
      <c r="AP14" s="302">
        <v>0</v>
      </c>
      <c r="AQ14" s="302"/>
      <c r="AR14" s="302"/>
      <c r="AS14" s="302"/>
      <c r="AT14" s="302"/>
      <c r="AU14" s="302"/>
      <c r="AV14" s="302">
        <f t="shared" si="8"/>
        <v>0</v>
      </c>
      <c r="AW14" s="302"/>
      <c r="AX14" s="302"/>
      <c r="AY14" s="302"/>
      <c r="AZ14" s="302"/>
    </row>
    <row r="15" spans="1:52" s="304" customFormat="1" ht="31.95" customHeight="1">
      <c r="A15" s="301">
        <f t="shared" si="7"/>
        <v>11</v>
      </c>
      <c r="B15" s="307">
        <v>2135</v>
      </c>
      <c r="C15" s="301" t="s">
        <v>408</v>
      </c>
      <c r="D15" s="302">
        <v>23000000</v>
      </c>
      <c r="E15" s="302">
        <v>23000000</v>
      </c>
      <c r="F15" s="302">
        <f t="shared" si="0"/>
        <v>0</v>
      </c>
      <c r="G15" s="302">
        <v>0</v>
      </c>
      <c r="H15" s="302">
        <v>0</v>
      </c>
      <c r="I15" s="302">
        <v>0</v>
      </c>
      <c r="J15" s="302">
        <v>0</v>
      </c>
      <c r="K15" s="302">
        <f t="shared" si="1"/>
        <v>0</v>
      </c>
      <c r="L15" s="302">
        <f t="shared" si="2"/>
        <v>0</v>
      </c>
      <c r="M15" s="302">
        <f t="shared" si="9"/>
        <v>0</v>
      </c>
      <c r="N15" s="302">
        <f>5792000-3292000-1500000</f>
        <v>1000000</v>
      </c>
      <c r="O15" s="302">
        <f t="shared" si="3"/>
        <v>22000000</v>
      </c>
      <c r="P15" s="302">
        <f t="shared" si="4"/>
        <v>0</v>
      </c>
      <c r="Q15" s="302"/>
      <c r="R15" s="302"/>
      <c r="S15" s="302">
        <f t="shared" si="5"/>
        <v>0</v>
      </c>
      <c r="T15" s="302">
        <v>0</v>
      </c>
      <c r="U15" s="302">
        <v>1000000</v>
      </c>
      <c r="V15" s="302"/>
      <c r="W15" s="302">
        <v>1000000</v>
      </c>
      <c r="X15" s="302"/>
      <c r="Y15" s="302"/>
      <c r="Z15" s="302"/>
      <c r="AA15" s="303"/>
      <c r="AB15" s="301" t="s">
        <v>834</v>
      </c>
      <c r="AC15" s="301">
        <v>810000</v>
      </c>
      <c r="AD15" s="302"/>
      <c r="AE15" s="302"/>
      <c r="AF15" s="302"/>
      <c r="AG15" s="302"/>
      <c r="AH15" s="302"/>
      <c r="AI15" s="302"/>
      <c r="AJ15" s="302"/>
      <c r="AK15" s="302"/>
      <c r="AL15" s="302"/>
      <c r="AM15" s="302">
        <v>0</v>
      </c>
      <c r="AN15" s="302">
        <v>1000000</v>
      </c>
      <c r="AO15" s="302"/>
      <c r="AP15" s="302">
        <v>0</v>
      </c>
      <c r="AQ15" s="302"/>
      <c r="AR15" s="302"/>
      <c r="AS15" s="302"/>
      <c r="AT15" s="302"/>
      <c r="AU15" s="302"/>
      <c r="AV15" s="302">
        <f t="shared" si="8"/>
        <v>0</v>
      </c>
      <c r="AW15" s="302"/>
      <c r="AX15" s="302"/>
      <c r="AY15" s="302"/>
      <c r="AZ15" s="302"/>
    </row>
    <row r="16" spans="1:52" s="304" customFormat="1" ht="31.95" customHeight="1">
      <c r="A16" s="301">
        <f t="shared" si="7"/>
        <v>12</v>
      </c>
      <c r="B16" s="307">
        <v>2159</v>
      </c>
      <c r="C16" s="301" t="s">
        <v>1026</v>
      </c>
      <c r="D16" s="302">
        <v>200000</v>
      </c>
      <c r="E16" s="302">
        <v>200000</v>
      </c>
      <c r="F16" s="302">
        <f t="shared" si="0"/>
        <v>0</v>
      </c>
      <c r="G16" s="302">
        <v>200000</v>
      </c>
      <c r="H16" s="302">
        <v>122945</v>
      </c>
      <c r="I16" s="302">
        <v>0</v>
      </c>
      <c r="J16" s="302">
        <v>53787</v>
      </c>
      <c r="K16" s="302">
        <f t="shared" si="1"/>
        <v>53787</v>
      </c>
      <c r="L16" s="302">
        <f t="shared" si="2"/>
        <v>176732</v>
      </c>
      <c r="M16" s="302">
        <f t="shared" si="9"/>
        <v>23268</v>
      </c>
      <c r="N16" s="302"/>
      <c r="O16" s="302">
        <f t="shared" si="3"/>
        <v>0</v>
      </c>
      <c r="P16" s="302">
        <f t="shared" si="4"/>
        <v>23268</v>
      </c>
      <c r="Q16" s="302"/>
      <c r="R16" s="302"/>
      <c r="S16" s="302">
        <f t="shared" si="5"/>
        <v>0</v>
      </c>
      <c r="T16" s="302">
        <v>0</v>
      </c>
      <c r="U16" s="302">
        <v>0</v>
      </c>
      <c r="V16" s="302"/>
      <c r="W16" s="302">
        <v>0</v>
      </c>
      <c r="X16" s="302"/>
      <c r="Y16" s="302"/>
      <c r="Z16" s="302"/>
      <c r="AA16" s="303"/>
      <c r="AB16" s="301" t="s">
        <v>432</v>
      </c>
      <c r="AC16" s="301">
        <v>810000</v>
      </c>
      <c r="AD16" s="302"/>
      <c r="AE16" s="302"/>
      <c r="AF16" s="302"/>
      <c r="AG16" s="302"/>
      <c r="AH16" s="302"/>
      <c r="AI16" s="302"/>
      <c r="AJ16" s="302"/>
      <c r="AK16" s="302"/>
      <c r="AL16" s="302"/>
      <c r="AM16" s="302">
        <v>0</v>
      </c>
      <c r="AN16" s="302">
        <v>0</v>
      </c>
      <c r="AO16" s="302"/>
      <c r="AP16" s="302">
        <v>0</v>
      </c>
      <c r="AQ16" s="302"/>
      <c r="AR16" s="302"/>
      <c r="AS16" s="302"/>
      <c r="AT16" s="302"/>
      <c r="AU16" s="302"/>
      <c r="AV16" s="302">
        <f t="shared" si="8"/>
        <v>0</v>
      </c>
      <c r="AW16" s="302"/>
      <c r="AX16" s="302"/>
      <c r="AY16" s="302"/>
      <c r="AZ16" s="302"/>
    </row>
    <row r="17" spans="1:52" s="304" customFormat="1" ht="31.95" customHeight="1">
      <c r="A17" s="301">
        <f t="shared" si="7"/>
        <v>13</v>
      </c>
      <c r="B17" s="307">
        <v>2160</v>
      </c>
      <c r="C17" s="301" t="s">
        <v>433</v>
      </c>
      <c r="D17" s="302">
        <v>210000</v>
      </c>
      <c r="E17" s="302">
        <v>180000</v>
      </c>
      <c r="F17" s="302">
        <f t="shared" si="0"/>
        <v>30000</v>
      </c>
      <c r="G17" s="302">
        <v>0</v>
      </c>
      <c r="H17" s="302">
        <v>0</v>
      </c>
      <c r="I17" s="302">
        <v>0</v>
      </c>
      <c r="J17" s="302">
        <v>0</v>
      </c>
      <c r="K17" s="302">
        <f t="shared" si="1"/>
        <v>0</v>
      </c>
      <c r="L17" s="302">
        <f t="shared" si="2"/>
        <v>0</v>
      </c>
      <c r="M17" s="302">
        <f t="shared" si="9"/>
        <v>0</v>
      </c>
      <c r="N17" s="302">
        <v>210000</v>
      </c>
      <c r="O17" s="302">
        <f t="shared" si="3"/>
        <v>0</v>
      </c>
      <c r="P17" s="302">
        <f t="shared" si="4"/>
        <v>0</v>
      </c>
      <c r="Q17" s="302"/>
      <c r="R17" s="302"/>
      <c r="S17" s="302">
        <f t="shared" si="5"/>
        <v>0</v>
      </c>
      <c r="T17" s="302">
        <v>0</v>
      </c>
      <c r="U17" s="302">
        <v>210000</v>
      </c>
      <c r="V17" s="302"/>
      <c r="W17" s="302">
        <v>210000</v>
      </c>
      <c r="X17" s="302"/>
      <c r="Y17" s="302"/>
      <c r="Z17" s="302"/>
      <c r="AA17" s="303"/>
      <c r="AB17" s="301" t="s">
        <v>434</v>
      </c>
      <c r="AC17" s="301">
        <v>810000</v>
      </c>
      <c r="AD17" s="302"/>
      <c r="AE17" s="302"/>
      <c r="AF17" s="302"/>
      <c r="AG17" s="302"/>
      <c r="AH17" s="302"/>
      <c r="AI17" s="302"/>
      <c r="AJ17" s="302">
        <v>210000</v>
      </c>
      <c r="AK17" s="302"/>
      <c r="AL17" s="302"/>
      <c r="AM17" s="302">
        <v>210000</v>
      </c>
      <c r="AN17" s="302">
        <v>0</v>
      </c>
      <c r="AO17" s="302"/>
      <c r="AP17" s="302">
        <v>210000</v>
      </c>
      <c r="AQ17" s="302"/>
      <c r="AR17" s="302"/>
      <c r="AS17" s="302"/>
      <c r="AT17" s="302"/>
      <c r="AU17" s="302"/>
      <c r="AV17" s="302">
        <f t="shared" si="8"/>
        <v>0</v>
      </c>
      <c r="AW17" s="302"/>
      <c r="AX17" s="302"/>
      <c r="AY17" s="302"/>
      <c r="AZ17" s="302"/>
    </row>
    <row r="18" spans="1:52" s="304" customFormat="1" ht="31.95" customHeight="1">
      <c r="A18" s="301">
        <f t="shared" si="7"/>
        <v>14</v>
      </c>
      <c r="B18" s="307">
        <v>2179</v>
      </c>
      <c r="C18" s="301" t="s">
        <v>527</v>
      </c>
      <c r="D18" s="302">
        <f>460000-70000</f>
        <v>390000</v>
      </c>
      <c r="E18" s="302">
        <v>460000</v>
      </c>
      <c r="F18" s="302">
        <f t="shared" si="0"/>
        <v>-70000</v>
      </c>
      <c r="G18" s="302">
        <v>460000</v>
      </c>
      <c r="H18" s="302">
        <v>363521</v>
      </c>
      <c r="I18" s="302">
        <v>0</v>
      </c>
      <c r="J18" s="302">
        <v>9788</v>
      </c>
      <c r="K18" s="302">
        <f t="shared" si="1"/>
        <v>9788</v>
      </c>
      <c r="L18" s="302">
        <f t="shared" si="2"/>
        <v>373309</v>
      </c>
      <c r="M18" s="302">
        <f>P18+S18-70000</f>
        <v>16691</v>
      </c>
      <c r="N18" s="302"/>
      <c r="O18" s="302">
        <f t="shared" si="3"/>
        <v>0</v>
      </c>
      <c r="P18" s="302">
        <f t="shared" si="4"/>
        <v>86691</v>
      </c>
      <c r="Q18" s="302"/>
      <c r="R18" s="302"/>
      <c r="S18" s="302">
        <f t="shared" si="5"/>
        <v>0</v>
      </c>
      <c r="T18" s="302">
        <v>70000</v>
      </c>
      <c r="U18" s="302">
        <v>-70000</v>
      </c>
      <c r="V18" s="302"/>
      <c r="W18" s="302">
        <v>0</v>
      </c>
      <c r="X18" s="302"/>
      <c r="Y18" s="302"/>
      <c r="Z18" s="302"/>
      <c r="AA18" s="303">
        <v>-70000</v>
      </c>
      <c r="AB18" s="301" t="s">
        <v>1027</v>
      </c>
      <c r="AC18" s="301">
        <v>810000</v>
      </c>
      <c r="AD18" s="302"/>
      <c r="AE18" s="302"/>
      <c r="AF18" s="302"/>
      <c r="AG18" s="302">
        <v>-70000</v>
      </c>
      <c r="AH18" s="302"/>
      <c r="AI18" s="302"/>
      <c r="AJ18" s="302"/>
      <c r="AK18" s="302"/>
      <c r="AL18" s="302"/>
      <c r="AM18" s="302">
        <v>-70000</v>
      </c>
      <c r="AN18" s="302">
        <v>0</v>
      </c>
      <c r="AO18" s="302"/>
      <c r="AP18" s="302">
        <v>0</v>
      </c>
      <c r="AQ18" s="302"/>
      <c r="AR18" s="302"/>
      <c r="AS18" s="302"/>
      <c r="AT18" s="302">
        <v>-70000</v>
      </c>
      <c r="AU18" s="302"/>
      <c r="AV18" s="302">
        <f t="shared" si="8"/>
        <v>0</v>
      </c>
      <c r="AW18" s="302"/>
      <c r="AX18" s="302"/>
      <c r="AY18" s="302"/>
      <c r="AZ18" s="302"/>
    </row>
    <row r="19" spans="1:52" s="304" customFormat="1" ht="31.95" customHeight="1">
      <c r="A19" s="301">
        <f t="shared" si="7"/>
        <v>15</v>
      </c>
      <c r="B19" s="307">
        <v>2217</v>
      </c>
      <c r="C19" s="301" t="s">
        <v>1028</v>
      </c>
      <c r="D19" s="302">
        <v>2650000</v>
      </c>
      <c r="E19" s="302">
        <v>1210000</v>
      </c>
      <c r="F19" s="302">
        <f t="shared" si="0"/>
        <v>1440000</v>
      </c>
      <c r="G19" s="302">
        <v>950000</v>
      </c>
      <c r="H19" s="302">
        <v>0</v>
      </c>
      <c r="I19" s="302">
        <v>0</v>
      </c>
      <c r="J19" s="302">
        <v>950000</v>
      </c>
      <c r="K19" s="302">
        <f t="shared" si="1"/>
        <v>950000</v>
      </c>
      <c r="L19" s="302">
        <f t="shared" si="2"/>
        <v>950000</v>
      </c>
      <c r="M19" s="302">
        <f t="shared" si="9"/>
        <v>260000</v>
      </c>
      <c r="N19" s="302">
        <v>1440000</v>
      </c>
      <c r="O19" s="302">
        <f t="shared" si="3"/>
        <v>0</v>
      </c>
      <c r="P19" s="302">
        <f t="shared" si="4"/>
        <v>0</v>
      </c>
      <c r="Q19" s="302"/>
      <c r="R19" s="302">
        <v>260000</v>
      </c>
      <c r="S19" s="302">
        <f t="shared" si="5"/>
        <v>260000</v>
      </c>
      <c r="T19" s="302">
        <v>0</v>
      </c>
      <c r="U19" s="302">
        <v>1440000</v>
      </c>
      <c r="V19" s="302"/>
      <c r="W19" s="302">
        <v>1440000</v>
      </c>
      <c r="X19" s="302"/>
      <c r="Y19" s="302"/>
      <c r="Z19" s="302"/>
      <c r="AA19" s="302"/>
      <c r="AB19" s="301" t="s">
        <v>1517</v>
      </c>
      <c r="AC19" s="301">
        <v>810000</v>
      </c>
      <c r="AD19" s="302"/>
      <c r="AE19" s="302"/>
      <c r="AF19" s="302"/>
      <c r="AG19" s="302">
        <v>440000</v>
      </c>
      <c r="AH19" s="302"/>
      <c r="AI19" s="302"/>
      <c r="AJ19" s="302">
        <v>100000</v>
      </c>
      <c r="AK19" s="302"/>
      <c r="AL19" s="302"/>
      <c r="AM19" s="302">
        <v>540000</v>
      </c>
      <c r="AN19" s="302">
        <v>900000</v>
      </c>
      <c r="AO19" s="302"/>
      <c r="AP19" s="302">
        <v>540000</v>
      </c>
      <c r="AQ19" s="302"/>
      <c r="AR19" s="302"/>
      <c r="AS19" s="302"/>
      <c r="AT19" s="302"/>
      <c r="AU19" s="302"/>
      <c r="AV19" s="302">
        <f t="shared" si="8"/>
        <v>0</v>
      </c>
      <c r="AW19" s="302"/>
      <c r="AX19" s="302"/>
      <c r="AY19" s="302"/>
      <c r="AZ19" s="302"/>
    </row>
    <row r="20" spans="1:52" s="304" customFormat="1" ht="31.95" customHeight="1">
      <c r="A20" s="301">
        <f t="shared" si="7"/>
        <v>16</v>
      </c>
      <c r="B20" s="307">
        <v>2218</v>
      </c>
      <c r="C20" s="301" t="s">
        <v>529</v>
      </c>
      <c r="D20" s="302">
        <f>2300000-800000-100000</f>
        <v>1400000</v>
      </c>
      <c r="E20" s="302">
        <v>2300000</v>
      </c>
      <c r="F20" s="302">
        <f t="shared" si="0"/>
        <v>-900000</v>
      </c>
      <c r="G20" s="302">
        <v>1500000</v>
      </c>
      <c r="H20" s="302">
        <v>24336</v>
      </c>
      <c r="I20" s="302">
        <v>0</v>
      </c>
      <c r="J20" s="302">
        <v>902285</v>
      </c>
      <c r="K20" s="302">
        <f t="shared" si="1"/>
        <v>902285</v>
      </c>
      <c r="L20" s="302">
        <f t="shared" si="2"/>
        <v>926621</v>
      </c>
      <c r="M20" s="302">
        <f t="shared" si="9"/>
        <v>473379</v>
      </c>
      <c r="N20" s="302"/>
      <c r="O20" s="302">
        <f t="shared" si="3"/>
        <v>0</v>
      </c>
      <c r="P20" s="302">
        <f t="shared" si="4"/>
        <v>573379</v>
      </c>
      <c r="Q20" s="302"/>
      <c r="R20" s="302">
        <v>-100000</v>
      </c>
      <c r="S20" s="302">
        <f t="shared" si="5"/>
        <v>-100000</v>
      </c>
      <c r="T20" s="302">
        <v>0</v>
      </c>
      <c r="U20" s="302">
        <v>0</v>
      </c>
      <c r="V20" s="302"/>
      <c r="W20" s="302">
        <v>0</v>
      </c>
      <c r="X20" s="302"/>
      <c r="Y20" s="302"/>
      <c r="Z20" s="302"/>
      <c r="AA20" s="302"/>
      <c r="AB20" s="301" t="s">
        <v>588</v>
      </c>
      <c r="AC20" s="301">
        <v>810000</v>
      </c>
      <c r="AD20" s="302"/>
      <c r="AE20" s="302"/>
      <c r="AF20" s="302"/>
      <c r="AG20" s="302"/>
      <c r="AH20" s="302"/>
      <c r="AI20" s="302"/>
      <c r="AJ20" s="302"/>
      <c r="AK20" s="302"/>
      <c r="AL20" s="302"/>
      <c r="AM20" s="302">
        <v>0</v>
      </c>
      <c r="AN20" s="302">
        <v>0</v>
      </c>
      <c r="AO20" s="302"/>
      <c r="AP20" s="302">
        <v>0</v>
      </c>
      <c r="AQ20" s="302"/>
      <c r="AR20" s="302"/>
      <c r="AS20" s="302"/>
      <c r="AT20" s="302"/>
      <c r="AU20" s="302"/>
      <c r="AV20" s="302">
        <f t="shared" si="8"/>
        <v>0</v>
      </c>
      <c r="AW20" s="302"/>
      <c r="AX20" s="302"/>
      <c r="AY20" s="302"/>
      <c r="AZ20" s="302"/>
    </row>
    <row r="21" spans="1:52" s="304" customFormat="1" ht="31.95" customHeight="1">
      <c r="A21" s="301">
        <f t="shared" si="7"/>
        <v>17</v>
      </c>
      <c r="B21" s="307">
        <v>2219</v>
      </c>
      <c r="C21" s="301" t="s">
        <v>530</v>
      </c>
      <c r="D21" s="302">
        <v>750000</v>
      </c>
      <c r="E21" s="302">
        <v>750000</v>
      </c>
      <c r="F21" s="302">
        <f t="shared" si="0"/>
        <v>0</v>
      </c>
      <c r="G21" s="302">
        <v>680000</v>
      </c>
      <c r="H21" s="302">
        <v>57</v>
      </c>
      <c r="I21" s="302">
        <v>0</v>
      </c>
      <c r="J21" s="302">
        <v>222063</v>
      </c>
      <c r="K21" s="302">
        <f t="shared" si="1"/>
        <v>222063</v>
      </c>
      <c r="L21" s="302">
        <f t="shared" si="2"/>
        <v>222120</v>
      </c>
      <c r="M21" s="302">
        <f t="shared" si="9"/>
        <v>317880</v>
      </c>
      <c r="N21" s="302">
        <f>70000+140000</f>
        <v>210000</v>
      </c>
      <c r="O21" s="302">
        <f t="shared" si="3"/>
        <v>0</v>
      </c>
      <c r="P21" s="302">
        <f t="shared" si="4"/>
        <v>457880</v>
      </c>
      <c r="Q21" s="302"/>
      <c r="R21" s="302">
        <v>-140000</v>
      </c>
      <c r="S21" s="302">
        <f t="shared" si="5"/>
        <v>-140000</v>
      </c>
      <c r="T21" s="302">
        <v>0</v>
      </c>
      <c r="U21" s="302">
        <v>210000</v>
      </c>
      <c r="V21" s="302"/>
      <c r="W21" s="302">
        <v>210000</v>
      </c>
      <c r="X21" s="302"/>
      <c r="Y21" s="302"/>
      <c r="Z21" s="302"/>
      <c r="AA21" s="302"/>
      <c r="AB21" s="301" t="s">
        <v>758</v>
      </c>
      <c r="AC21" s="301">
        <v>810000</v>
      </c>
      <c r="AD21" s="302"/>
      <c r="AE21" s="302"/>
      <c r="AF21" s="302"/>
      <c r="AG21" s="302"/>
      <c r="AH21" s="302"/>
      <c r="AI21" s="302"/>
      <c r="AJ21" s="302"/>
      <c r="AK21" s="302"/>
      <c r="AL21" s="302"/>
      <c r="AM21" s="302">
        <v>0</v>
      </c>
      <c r="AN21" s="302">
        <v>210000</v>
      </c>
      <c r="AO21" s="302"/>
      <c r="AP21" s="302">
        <v>0</v>
      </c>
      <c r="AQ21" s="302"/>
      <c r="AR21" s="302"/>
      <c r="AS21" s="302"/>
      <c r="AT21" s="302"/>
      <c r="AU21" s="302"/>
      <c r="AV21" s="302">
        <f t="shared" si="8"/>
        <v>0</v>
      </c>
      <c r="AW21" s="302"/>
      <c r="AX21" s="302"/>
      <c r="AY21" s="302"/>
      <c r="AZ21" s="302"/>
    </row>
    <row r="22" spans="1:52" s="304" customFormat="1" ht="31.95" customHeight="1">
      <c r="A22" s="301">
        <f t="shared" si="7"/>
        <v>18</v>
      </c>
      <c r="B22" s="307">
        <v>2224</v>
      </c>
      <c r="C22" s="301" t="s">
        <v>666</v>
      </c>
      <c r="D22" s="302">
        <v>230000</v>
      </c>
      <c r="E22" s="302">
        <v>230000</v>
      </c>
      <c r="F22" s="302">
        <f t="shared" si="0"/>
        <v>0</v>
      </c>
      <c r="G22" s="302">
        <v>230000</v>
      </c>
      <c r="H22" s="302">
        <v>0</v>
      </c>
      <c r="I22" s="302">
        <v>0</v>
      </c>
      <c r="J22" s="302">
        <v>0</v>
      </c>
      <c r="K22" s="302">
        <f t="shared" si="1"/>
        <v>0</v>
      </c>
      <c r="L22" s="302">
        <f t="shared" si="2"/>
        <v>0</v>
      </c>
      <c r="M22" s="302">
        <f t="shared" si="9"/>
        <v>230000</v>
      </c>
      <c r="N22" s="302"/>
      <c r="O22" s="302">
        <f t="shared" si="3"/>
        <v>0</v>
      </c>
      <c r="P22" s="302">
        <f t="shared" si="4"/>
        <v>230000</v>
      </c>
      <c r="Q22" s="302"/>
      <c r="R22" s="302"/>
      <c r="S22" s="302">
        <f t="shared" si="5"/>
        <v>0</v>
      </c>
      <c r="T22" s="302">
        <v>0</v>
      </c>
      <c r="U22" s="302">
        <v>0</v>
      </c>
      <c r="V22" s="302"/>
      <c r="W22" s="302">
        <v>0</v>
      </c>
      <c r="X22" s="302"/>
      <c r="Y22" s="302"/>
      <c r="Z22" s="302"/>
      <c r="AA22" s="302"/>
      <c r="AB22" s="301" t="s">
        <v>759</v>
      </c>
      <c r="AC22" s="301">
        <v>810000</v>
      </c>
      <c r="AD22" s="302"/>
      <c r="AE22" s="302"/>
      <c r="AF22" s="302"/>
      <c r="AG22" s="302"/>
      <c r="AH22" s="302"/>
      <c r="AI22" s="302"/>
      <c r="AJ22" s="302"/>
      <c r="AK22" s="302"/>
      <c r="AL22" s="302"/>
      <c r="AM22" s="302">
        <v>0</v>
      </c>
      <c r="AN22" s="302">
        <v>0</v>
      </c>
      <c r="AO22" s="302"/>
      <c r="AP22" s="302">
        <v>0</v>
      </c>
      <c r="AQ22" s="302"/>
      <c r="AR22" s="302"/>
      <c r="AS22" s="302"/>
      <c r="AT22" s="302"/>
      <c r="AU22" s="302"/>
      <c r="AV22" s="302">
        <f t="shared" si="8"/>
        <v>0</v>
      </c>
      <c r="AW22" s="302"/>
      <c r="AX22" s="302"/>
      <c r="AY22" s="302"/>
      <c r="AZ22" s="302"/>
    </row>
    <row r="23" spans="1:52" s="304" customFormat="1" ht="31.95" customHeight="1">
      <c r="A23" s="301">
        <f t="shared" si="7"/>
        <v>19</v>
      </c>
      <c r="B23" s="307">
        <v>2227</v>
      </c>
      <c r="C23" s="301" t="s">
        <v>667</v>
      </c>
      <c r="D23" s="302">
        <v>100000</v>
      </c>
      <c r="E23" s="302">
        <v>100000</v>
      </c>
      <c r="F23" s="302">
        <f t="shared" si="0"/>
        <v>0</v>
      </c>
      <c r="G23" s="302">
        <v>100000</v>
      </c>
      <c r="H23" s="302">
        <v>0</v>
      </c>
      <c r="I23" s="302">
        <v>0</v>
      </c>
      <c r="J23" s="302">
        <v>0</v>
      </c>
      <c r="K23" s="302">
        <f t="shared" si="1"/>
        <v>0</v>
      </c>
      <c r="L23" s="302">
        <f t="shared" si="2"/>
        <v>0</v>
      </c>
      <c r="M23" s="302">
        <f t="shared" si="9"/>
        <v>100000</v>
      </c>
      <c r="N23" s="302"/>
      <c r="O23" s="302">
        <f t="shared" si="3"/>
        <v>0</v>
      </c>
      <c r="P23" s="302">
        <f t="shared" si="4"/>
        <v>100000</v>
      </c>
      <c r="Q23" s="302"/>
      <c r="R23" s="302"/>
      <c r="S23" s="302">
        <f t="shared" si="5"/>
        <v>0</v>
      </c>
      <c r="T23" s="302">
        <v>0</v>
      </c>
      <c r="U23" s="302">
        <v>0</v>
      </c>
      <c r="V23" s="302"/>
      <c r="W23" s="302">
        <v>0</v>
      </c>
      <c r="X23" s="302"/>
      <c r="Y23" s="302"/>
      <c r="Z23" s="302"/>
      <c r="AA23" s="302"/>
      <c r="AB23" s="301" t="s">
        <v>682</v>
      </c>
      <c r="AC23" s="301">
        <v>810000</v>
      </c>
      <c r="AD23" s="302"/>
      <c r="AE23" s="302"/>
      <c r="AF23" s="302"/>
      <c r="AG23" s="302"/>
      <c r="AH23" s="302"/>
      <c r="AI23" s="302"/>
      <c r="AJ23" s="302"/>
      <c r="AK23" s="302"/>
      <c r="AL23" s="302"/>
      <c r="AM23" s="302">
        <v>0</v>
      </c>
      <c r="AN23" s="302">
        <v>0</v>
      </c>
      <c r="AO23" s="302"/>
      <c r="AP23" s="302">
        <v>0</v>
      </c>
      <c r="AQ23" s="302"/>
      <c r="AR23" s="302"/>
      <c r="AS23" s="302"/>
      <c r="AT23" s="302"/>
      <c r="AU23" s="302"/>
      <c r="AV23" s="302">
        <f t="shared" si="8"/>
        <v>0</v>
      </c>
      <c r="AW23" s="302"/>
      <c r="AX23" s="302"/>
      <c r="AY23" s="302"/>
      <c r="AZ23" s="302"/>
    </row>
    <row r="24" spans="1:52" s="304" customFormat="1" ht="31.95" customHeight="1">
      <c r="A24" s="301">
        <f t="shared" si="7"/>
        <v>20</v>
      </c>
      <c r="B24" s="307">
        <v>20041</v>
      </c>
      <c r="C24" s="301" t="s">
        <v>760</v>
      </c>
      <c r="D24" s="302">
        <v>100000</v>
      </c>
      <c r="E24" s="302"/>
      <c r="F24" s="302">
        <f t="shared" si="0"/>
        <v>100000</v>
      </c>
      <c r="G24" s="302">
        <v>0</v>
      </c>
      <c r="H24" s="302">
        <v>0</v>
      </c>
      <c r="I24" s="302">
        <v>0</v>
      </c>
      <c r="J24" s="302">
        <v>0</v>
      </c>
      <c r="K24" s="302">
        <f>SUM(I24:J24)</f>
        <v>0</v>
      </c>
      <c r="L24" s="302">
        <f t="shared" si="2"/>
        <v>0</v>
      </c>
      <c r="M24" s="302">
        <f t="shared" si="9"/>
        <v>0</v>
      </c>
      <c r="N24" s="302">
        <v>100000</v>
      </c>
      <c r="O24" s="302">
        <f>D24-L24-M24-N24</f>
        <v>0</v>
      </c>
      <c r="P24" s="302">
        <f t="shared" si="4"/>
        <v>0</v>
      </c>
      <c r="Q24" s="302"/>
      <c r="R24" s="302"/>
      <c r="S24" s="302">
        <f t="shared" si="5"/>
        <v>0</v>
      </c>
      <c r="T24" s="302">
        <v>0</v>
      </c>
      <c r="U24" s="302">
        <v>100000</v>
      </c>
      <c r="V24" s="302">
        <v>0</v>
      </c>
      <c r="W24" s="302">
        <v>100000</v>
      </c>
      <c r="X24" s="302"/>
      <c r="Y24" s="302"/>
      <c r="Z24" s="302"/>
      <c r="AA24" s="302"/>
      <c r="AB24" s="301" t="s">
        <v>761</v>
      </c>
      <c r="AC24" s="301">
        <v>810000</v>
      </c>
      <c r="AD24" s="302"/>
      <c r="AE24" s="302"/>
      <c r="AF24" s="302"/>
      <c r="AG24" s="302"/>
      <c r="AH24" s="302"/>
      <c r="AI24" s="302">
        <v>100000</v>
      </c>
      <c r="AJ24" s="302"/>
      <c r="AK24" s="302"/>
      <c r="AL24" s="302"/>
      <c r="AM24" s="302">
        <v>100000</v>
      </c>
      <c r="AN24" s="302">
        <v>0</v>
      </c>
      <c r="AO24" s="302"/>
      <c r="AP24" s="302">
        <v>100000</v>
      </c>
      <c r="AQ24" s="302"/>
      <c r="AR24" s="302"/>
      <c r="AS24" s="302"/>
      <c r="AT24" s="302"/>
      <c r="AU24" s="302"/>
      <c r="AV24" s="302">
        <f t="shared" si="8"/>
        <v>0</v>
      </c>
      <c r="AW24" s="302"/>
      <c r="AX24" s="302"/>
      <c r="AY24" s="302"/>
      <c r="AZ24" s="302"/>
    </row>
    <row r="25" spans="1:52" s="304" customFormat="1" ht="31.95" customHeight="1">
      <c r="A25" s="301">
        <f t="shared" si="7"/>
        <v>21</v>
      </c>
      <c r="B25" s="307">
        <v>20042</v>
      </c>
      <c r="C25" s="301" t="s">
        <v>762</v>
      </c>
      <c r="D25" s="302">
        <v>1300000</v>
      </c>
      <c r="E25" s="302"/>
      <c r="F25" s="302">
        <f t="shared" si="0"/>
        <v>1300000</v>
      </c>
      <c r="G25" s="302">
        <v>0</v>
      </c>
      <c r="H25" s="302">
        <v>0</v>
      </c>
      <c r="I25" s="302">
        <v>0</v>
      </c>
      <c r="J25" s="302">
        <v>0</v>
      </c>
      <c r="K25" s="302">
        <f>SUM(I25:J25)</f>
        <v>0</v>
      </c>
      <c r="L25" s="302">
        <f t="shared" si="2"/>
        <v>0</v>
      </c>
      <c r="M25" s="302">
        <f t="shared" si="9"/>
        <v>0</v>
      </c>
      <c r="N25" s="302">
        <v>650000</v>
      </c>
      <c r="O25" s="302">
        <f>D25-L25-M25-N25</f>
        <v>650000</v>
      </c>
      <c r="P25" s="302">
        <f t="shared" si="4"/>
        <v>0</v>
      </c>
      <c r="Q25" s="302"/>
      <c r="R25" s="302"/>
      <c r="S25" s="302">
        <f t="shared" si="5"/>
        <v>0</v>
      </c>
      <c r="T25" s="302">
        <v>0</v>
      </c>
      <c r="U25" s="302">
        <v>650000</v>
      </c>
      <c r="V25" s="302">
        <v>0</v>
      </c>
      <c r="W25" s="302">
        <v>350000</v>
      </c>
      <c r="X25" s="302"/>
      <c r="Y25" s="302"/>
      <c r="Z25" s="302"/>
      <c r="AA25" s="302">
        <v>300000</v>
      </c>
      <c r="AB25" s="301" t="s">
        <v>812</v>
      </c>
      <c r="AC25" s="301">
        <v>810000</v>
      </c>
      <c r="AD25" s="302"/>
      <c r="AE25" s="302"/>
      <c r="AF25" s="302"/>
      <c r="AG25" s="302"/>
      <c r="AH25" s="302"/>
      <c r="AI25" s="302"/>
      <c r="AJ25" s="302">
        <v>350000</v>
      </c>
      <c r="AK25" s="302">
        <v>300000</v>
      </c>
      <c r="AL25" s="302"/>
      <c r="AM25" s="302">
        <v>650000</v>
      </c>
      <c r="AN25" s="302">
        <v>0</v>
      </c>
      <c r="AO25" s="302"/>
      <c r="AP25" s="302">
        <v>350000</v>
      </c>
      <c r="AQ25" s="302"/>
      <c r="AR25" s="302"/>
      <c r="AS25" s="302"/>
      <c r="AT25" s="302">
        <v>300000</v>
      </c>
      <c r="AU25" s="302"/>
      <c r="AV25" s="302">
        <f t="shared" si="8"/>
        <v>0</v>
      </c>
      <c r="AW25" s="302"/>
      <c r="AX25" s="302"/>
      <c r="AY25" s="302"/>
      <c r="AZ25" s="302"/>
    </row>
    <row r="26" spans="1:52" s="304" customFormat="1" ht="31.95" customHeight="1">
      <c r="A26" s="301">
        <f t="shared" si="7"/>
        <v>22</v>
      </c>
      <c r="B26" s="307">
        <v>20043</v>
      </c>
      <c r="C26" s="301" t="s">
        <v>763</v>
      </c>
      <c r="D26" s="302">
        <v>1300000</v>
      </c>
      <c r="E26" s="302"/>
      <c r="F26" s="302">
        <f t="shared" si="0"/>
        <v>1300000</v>
      </c>
      <c r="G26" s="302">
        <v>0</v>
      </c>
      <c r="H26" s="302">
        <v>0</v>
      </c>
      <c r="I26" s="302">
        <v>0</v>
      </c>
      <c r="J26" s="302">
        <v>0</v>
      </c>
      <c r="K26" s="302">
        <f>SUM(I26:J26)</f>
        <v>0</v>
      </c>
      <c r="L26" s="302">
        <f t="shared" si="2"/>
        <v>0</v>
      </c>
      <c r="M26" s="302">
        <f t="shared" si="9"/>
        <v>0</v>
      </c>
      <c r="N26" s="302">
        <v>850000</v>
      </c>
      <c r="O26" s="302">
        <f>D26-L26-M26-N26</f>
        <v>450000</v>
      </c>
      <c r="P26" s="302">
        <f t="shared" si="4"/>
        <v>0</v>
      </c>
      <c r="Q26" s="302"/>
      <c r="R26" s="302"/>
      <c r="S26" s="302">
        <f t="shared" si="5"/>
        <v>0</v>
      </c>
      <c r="T26" s="302">
        <v>0</v>
      </c>
      <c r="U26" s="302">
        <v>850000</v>
      </c>
      <c r="V26" s="302">
        <v>0</v>
      </c>
      <c r="W26" s="302">
        <v>450000</v>
      </c>
      <c r="X26" s="302"/>
      <c r="Y26" s="302"/>
      <c r="Z26" s="302"/>
      <c r="AA26" s="302">
        <v>400000</v>
      </c>
      <c r="AB26" s="301" t="s">
        <v>812</v>
      </c>
      <c r="AC26" s="301">
        <v>810000</v>
      </c>
      <c r="AD26" s="302"/>
      <c r="AE26" s="302"/>
      <c r="AF26" s="302"/>
      <c r="AG26" s="302"/>
      <c r="AH26" s="302"/>
      <c r="AI26" s="302"/>
      <c r="AJ26" s="302">
        <v>400000</v>
      </c>
      <c r="AK26" s="302">
        <v>400000</v>
      </c>
      <c r="AL26" s="302"/>
      <c r="AM26" s="302">
        <v>800000</v>
      </c>
      <c r="AN26" s="302">
        <v>50000</v>
      </c>
      <c r="AO26" s="302"/>
      <c r="AP26" s="302">
        <v>400000</v>
      </c>
      <c r="AQ26" s="302"/>
      <c r="AR26" s="302"/>
      <c r="AS26" s="302"/>
      <c r="AT26" s="302">
        <v>400000</v>
      </c>
      <c r="AU26" s="302"/>
      <c r="AV26" s="302">
        <f t="shared" si="8"/>
        <v>0</v>
      </c>
      <c r="AW26" s="302"/>
      <c r="AX26" s="302"/>
      <c r="AY26" s="302"/>
      <c r="AZ26" s="302"/>
    </row>
    <row r="27" spans="1:52" s="304" customFormat="1" ht="31.95" customHeight="1">
      <c r="A27" s="301">
        <f t="shared" si="7"/>
        <v>23</v>
      </c>
      <c r="B27" s="307">
        <v>20044</v>
      </c>
      <c r="C27" s="301" t="s">
        <v>116</v>
      </c>
      <c r="D27" s="302">
        <v>476000</v>
      </c>
      <c r="E27" s="302"/>
      <c r="F27" s="302">
        <f t="shared" si="0"/>
        <v>476000</v>
      </c>
      <c r="G27" s="302">
        <v>0</v>
      </c>
      <c r="H27" s="302">
        <v>0</v>
      </c>
      <c r="I27" s="302">
        <v>0</v>
      </c>
      <c r="J27" s="302">
        <v>0</v>
      </c>
      <c r="K27" s="302">
        <f>SUM(I27:J27)</f>
        <v>0</v>
      </c>
      <c r="L27" s="302">
        <f>H27+K27</f>
        <v>0</v>
      </c>
      <c r="M27" s="302">
        <f>P27+S27</f>
        <v>0</v>
      </c>
      <c r="N27" s="302">
        <v>476000</v>
      </c>
      <c r="O27" s="302">
        <f>D27-L27-M27-N27</f>
        <v>0</v>
      </c>
      <c r="P27" s="302">
        <f>G27-L27</f>
        <v>0</v>
      </c>
      <c r="Q27" s="302"/>
      <c r="R27" s="302"/>
      <c r="S27" s="302">
        <f>SUM(Q27:R27)</f>
        <v>0</v>
      </c>
      <c r="T27" s="302">
        <v>0</v>
      </c>
      <c r="U27" s="302">
        <v>476000</v>
      </c>
      <c r="V27" s="302"/>
      <c r="W27" s="302">
        <v>476000</v>
      </c>
      <c r="X27" s="302"/>
      <c r="Y27" s="302"/>
      <c r="Z27" s="302"/>
      <c r="AA27" s="302"/>
      <c r="AB27" s="301" t="s">
        <v>1029</v>
      </c>
      <c r="AC27" s="301">
        <v>810000</v>
      </c>
      <c r="AD27" s="302"/>
      <c r="AE27" s="302"/>
      <c r="AF27" s="302"/>
      <c r="AG27" s="302">
        <v>250000</v>
      </c>
      <c r="AH27" s="302"/>
      <c r="AI27" s="302">
        <v>226000</v>
      </c>
      <c r="AJ27" s="302"/>
      <c r="AK27" s="302"/>
      <c r="AL27" s="302"/>
      <c r="AM27" s="302">
        <v>476000</v>
      </c>
      <c r="AN27" s="302">
        <v>0</v>
      </c>
      <c r="AO27" s="302"/>
      <c r="AP27" s="302">
        <v>476000</v>
      </c>
      <c r="AQ27" s="302"/>
      <c r="AR27" s="302"/>
      <c r="AS27" s="302"/>
      <c r="AT27" s="302"/>
      <c r="AU27" s="302"/>
      <c r="AV27" s="302">
        <f t="shared" si="8"/>
        <v>0</v>
      </c>
      <c r="AW27" s="302"/>
      <c r="AX27" s="302"/>
      <c r="AY27" s="302"/>
      <c r="AZ27" s="302"/>
    </row>
    <row r="28" spans="1:52" s="340" customFormat="1" ht="31.95" customHeight="1">
      <c r="A28" s="338">
        <f>A27</f>
        <v>23</v>
      </c>
      <c r="B28" s="338"/>
      <c r="C28" s="311" t="s">
        <v>493</v>
      </c>
      <c r="D28" s="339">
        <f>SUM(D5:D27)</f>
        <v>46031820</v>
      </c>
      <c r="E28" s="339">
        <f t="shared" ref="E28:S28" si="10">SUM(E5:E27)</f>
        <v>44194820</v>
      </c>
      <c r="F28" s="339">
        <f t="shared" si="10"/>
        <v>1837000</v>
      </c>
      <c r="G28" s="339">
        <f t="shared" si="10"/>
        <v>16315820</v>
      </c>
      <c r="H28" s="339">
        <f t="shared" si="10"/>
        <v>9746009</v>
      </c>
      <c r="I28" s="339">
        <f t="shared" si="10"/>
        <v>173897</v>
      </c>
      <c r="J28" s="339">
        <f t="shared" si="10"/>
        <v>3179518</v>
      </c>
      <c r="K28" s="339">
        <f t="shared" si="10"/>
        <v>3353415</v>
      </c>
      <c r="L28" s="339">
        <f t="shared" si="10"/>
        <v>13099424</v>
      </c>
      <c r="M28" s="339">
        <f t="shared" si="10"/>
        <v>3246396</v>
      </c>
      <c r="N28" s="339">
        <f t="shared" si="10"/>
        <v>6486000</v>
      </c>
      <c r="O28" s="339">
        <f t="shared" si="10"/>
        <v>23200000</v>
      </c>
      <c r="P28" s="339">
        <f t="shared" si="10"/>
        <v>3216396</v>
      </c>
      <c r="Q28" s="339">
        <f t="shared" si="10"/>
        <v>300000</v>
      </c>
      <c r="R28" s="339">
        <f t="shared" si="10"/>
        <v>0</v>
      </c>
      <c r="S28" s="339">
        <f t="shared" si="10"/>
        <v>300000</v>
      </c>
      <c r="T28" s="339">
        <v>270000</v>
      </c>
      <c r="U28" s="339">
        <v>6216000</v>
      </c>
      <c r="V28" s="339">
        <v>0</v>
      </c>
      <c r="W28" s="339">
        <v>4590100</v>
      </c>
      <c r="X28" s="339">
        <v>0</v>
      </c>
      <c r="Y28" s="339">
        <v>0</v>
      </c>
      <c r="Z28" s="339">
        <v>0</v>
      </c>
      <c r="AA28" s="339">
        <v>1625900</v>
      </c>
      <c r="AB28" s="339"/>
      <c r="AC28" s="301"/>
      <c r="AD28" s="339">
        <v>0</v>
      </c>
      <c r="AE28" s="339">
        <v>0</v>
      </c>
      <c r="AF28" s="339">
        <v>0</v>
      </c>
      <c r="AG28" s="339">
        <v>700000</v>
      </c>
      <c r="AH28" s="339">
        <v>-200000</v>
      </c>
      <c r="AI28" s="339">
        <v>326000</v>
      </c>
      <c r="AJ28" s="339">
        <v>1360000</v>
      </c>
      <c r="AK28" s="339">
        <v>700000</v>
      </c>
      <c r="AL28" s="339">
        <v>210000</v>
      </c>
      <c r="AM28" s="339">
        <v>3096000</v>
      </c>
      <c r="AN28" s="339">
        <v>3120000</v>
      </c>
      <c r="AO28" s="339">
        <v>0</v>
      </c>
      <c r="AP28" s="339">
        <v>2430100</v>
      </c>
      <c r="AQ28" s="339">
        <v>0</v>
      </c>
      <c r="AR28" s="339">
        <v>0</v>
      </c>
      <c r="AS28" s="339">
        <v>0</v>
      </c>
      <c r="AT28" s="339">
        <v>665900</v>
      </c>
      <c r="AU28" s="339">
        <f t="shared" ref="AU28:AZ28" si="11">SUM(AU5:AU27)</f>
        <v>0</v>
      </c>
      <c r="AV28" s="339">
        <f t="shared" si="11"/>
        <v>254100</v>
      </c>
      <c r="AW28" s="339">
        <f t="shared" si="11"/>
        <v>0</v>
      </c>
      <c r="AX28" s="339">
        <f t="shared" si="11"/>
        <v>0</v>
      </c>
      <c r="AY28" s="339">
        <f t="shared" si="11"/>
        <v>0</v>
      </c>
      <c r="AZ28" s="339">
        <f t="shared" si="11"/>
        <v>-44100</v>
      </c>
    </row>
    <row r="29" spans="1:52" hidden="1">
      <c r="L29" s="310">
        <f>K28+H28</f>
        <v>13099424</v>
      </c>
      <c r="P29" s="310">
        <f>G28-L29</f>
        <v>3216396</v>
      </c>
    </row>
    <row r="31" spans="1:52" ht="15.6">
      <c r="C31" s="507"/>
      <c r="AP31" s="457">
        <f>AP28+AT28-AM28</f>
        <v>0</v>
      </c>
    </row>
    <row r="34" spans="1:50" s="503" customFormat="1">
      <c r="A34" s="308"/>
      <c r="B34" s="308"/>
      <c r="C34" s="309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09"/>
      <c r="AC34" s="308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U34" s="306"/>
      <c r="AV34" s="306"/>
      <c r="AW34" s="306"/>
      <c r="AX34" s="306"/>
    </row>
    <row r="35" spans="1:50" s="503" customFormat="1">
      <c r="A35" s="308"/>
      <c r="B35" s="308"/>
      <c r="C35" s="309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09"/>
      <c r="AC35" s="308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U35" s="306"/>
      <c r="AV35" s="306"/>
      <c r="AW35" s="306"/>
      <c r="AX35" s="306"/>
    </row>
    <row r="36" spans="1:50" s="503" customFormat="1">
      <c r="A36" s="308"/>
      <c r="B36" s="308"/>
      <c r="C36" s="309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09"/>
      <c r="AC36" s="308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U36" s="306"/>
      <c r="AV36" s="306"/>
      <c r="AW36" s="306"/>
      <c r="AX36" s="306"/>
    </row>
    <row r="37" spans="1:50" s="503" customFormat="1">
      <c r="A37" s="308"/>
      <c r="B37" s="308"/>
      <c r="C37" s="309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09"/>
      <c r="AC37" s="308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U37" s="306"/>
      <c r="AV37" s="306"/>
      <c r="AW37" s="306"/>
      <c r="AX37" s="306"/>
    </row>
    <row r="38" spans="1:50" s="503" customFormat="1">
      <c r="A38" s="308"/>
      <c r="B38" s="308"/>
      <c r="C38" s="309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09"/>
      <c r="AC38" s="308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U38" s="306"/>
      <c r="AV38" s="306"/>
      <c r="AW38" s="306"/>
      <c r="AX38" s="306"/>
    </row>
    <row r="39" spans="1:50" s="503" customFormat="1">
      <c r="A39" s="308"/>
      <c r="B39" s="308"/>
      <c r="C39" s="309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09"/>
      <c r="AC39" s="308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U39" s="306"/>
      <c r="AV39" s="306"/>
      <c r="AW39" s="306"/>
      <c r="AX39" s="306"/>
    </row>
    <row r="40" spans="1:50" s="503" customFormat="1">
      <c r="A40" s="308"/>
      <c r="B40" s="308"/>
      <c r="C40" s="309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09"/>
      <c r="AC40" s="308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U40" s="306"/>
      <c r="AV40" s="306"/>
      <c r="AW40" s="306"/>
      <c r="AX40" s="306"/>
    </row>
  </sheetData>
  <sheetProtection formatCells="0" formatColumns="0" formatRows="0" insertColumns="0" insertRows="0" insertHyperlinks="0" deleteColumns="0" deleteRows="0" sort="0" autoFilter="0" pivotTables="0"/>
  <mergeCells count="5">
    <mergeCell ref="T3:U3"/>
    <mergeCell ref="W3:AA3"/>
    <mergeCell ref="AD3:AN3"/>
    <mergeCell ref="AO3:AT3"/>
    <mergeCell ref="AU3:AZ3"/>
  </mergeCells>
  <conditionalFormatting sqref="A1:W2 AS1:AT2 Z1:AC1 Z2:AA2 AC2 BA1:XFD2">
    <cfRule type="cellIs" dxfId="78" priority="6" operator="equal">
      <formula>0</formula>
    </cfRule>
  </conditionalFormatting>
  <conditionalFormatting sqref="AB4">
    <cfRule type="cellIs" dxfId="77" priority="5" operator="equal">
      <formula>0</formula>
    </cfRule>
  </conditionalFormatting>
  <conditionalFormatting sqref="X1:X2">
    <cfRule type="cellIs" dxfId="76" priority="4" operator="equal">
      <formula>0</formula>
    </cfRule>
  </conditionalFormatting>
  <conditionalFormatting sqref="AB2">
    <cfRule type="cellIs" dxfId="75" priority="3" operator="equal">
      <formula>0</formula>
    </cfRule>
  </conditionalFormatting>
  <conditionalFormatting sqref="Y1:Y2">
    <cfRule type="cellIs" dxfId="74" priority="2" operator="equal">
      <formula>0</formula>
    </cfRule>
  </conditionalFormatting>
  <conditionalFormatting sqref="AY1:AZ2">
    <cfRule type="cellIs" dxfId="73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5"/>
  <sheetViews>
    <sheetView showZeros="0" rightToLeft="1" tabSelected="1" zoomScaleNormal="100" workbookViewId="0">
      <pane xSplit="3" ySplit="4" topLeftCell="D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3.8"/>
  <cols>
    <col min="1" max="1" width="5.77734375" style="26" customWidth="1"/>
    <col min="2" max="2" width="5.77734375" style="11" customWidth="1"/>
    <col min="3" max="3" width="32.77734375" style="11" customWidth="1"/>
    <col min="4" max="8" width="10.109375" style="13" hidden="1" customWidth="1"/>
    <col min="9" max="11" width="9.6640625" style="13" hidden="1" customWidth="1"/>
    <col min="12" max="12" width="10.109375" style="13" hidden="1" customWidth="1"/>
    <col min="13" max="13" width="9.109375" style="13" hidden="1" customWidth="1"/>
    <col min="14" max="15" width="10.109375" style="13" hidden="1" customWidth="1"/>
    <col min="16" max="19" width="9.6640625" style="13" hidden="1" customWidth="1"/>
    <col min="20" max="20" width="12.77734375" style="13" customWidth="1"/>
    <col min="21" max="23" width="12.77734375" style="11" customWidth="1"/>
    <col min="24" max="26" width="8.6640625" style="11" hidden="1" customWidth="1"/>
    <col min="27" max="27" width="12.77734375" style="11" customWidth="1"/>
    <col min="28" max="28" width="34.88671875" style="26" hidden="1" customWidth="1"/>
    <col min="29" max="29" width="7.88671875" style="11" hidden="1" customWidth="1"/>
    <col min="30" max="38" width="13.6640625" style="510" hidden="1" customWidth="1"/>
    <col min="39" max="42" width="12.77734375" style="510" customWidth="1"/>
    <col min="43" max="43" width="13.6640625" style="510" hidden="1" customWidth="1"/>
    <col min="44" max="45" width="13.6640625" style="11" hidden="1" customWidth="1"/>
    <col min="46" max="46" width="12.77734375" style="11" customWidth="1"/>
    <col min="47" max="49" width="13.6640625" style="510" hidden="1" customWidth="1"/>
    <col min="50" max="52" width="13.6640625" style="11" hidden="1" customWidth="1"/>
    <col min="53" max="16384" width="9.109375" style="11"/>
  </cols>
  <sheetData>
    <row r="1" spans="1:52" s="510" customFormat="1" ht="18">
      <c r="A1" s="508"/>
      <c r="B1" s="508"/>
      <c r="C1" s="508"/>
      <c r="D1" s="509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</row>
    <row r="2" spans="1:52" s="510" customFormat="1" ht="18">
      <c r="A2" s="508" t="s">
        <v>1451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</row>
    <row r="3" spans="1:52" ht="35.25" customHeight="1">
      <c r="T3" s="622" t="s">
        <v>1426</v>
      </c>
      <c r="U3" s="622"/>
      <c r="V3" s="622" t="s">
        <v>83</v>
      </c>
      <c r="W3" s="622"/>
      <c r="X3" s="622"/>
      <c r="Y3" s="622"/>
      <c r="Z3" s="622"/>
      <c r="AA3" s="622"/>
      <c r="AD3" s="644" t="s">
        <v>207</v>
      </c>
      <c r="AE3" s="645"/>
      <c r="AF3" s="645"/>
      <c r="AG3" s="645"/>
      <c r="AH3" s="645"/>
      <c r="AI3" s="645"/>
      <c r="AJ3" s="645"/>
      <c r="AK3" s="645"/>
      <c r="AL3" s="645"/>
      <c r="AM3" s="645"/>
      <c r="AN3" s="646"/>
      <c r="AO3" s="650" t="s">
        <v>1164</v>
      </c>
      <c r="AP3" s="650"/>
      <c r="AQ3" s="650"/>
      <c r="AR3" s="650"/>
      <c r="AS3" s="650"/>
      <c r="AT3" s="650"/>
      <c r="AU3" s="622" t="s">
        <v>953</v>
      </c>
      <c r="AV3" s="622"/>
      <c r="AW3" s="622"/>
      <c r="AX3" s="622"/>
      <c r="AY3" s="622"/>
      <c r="AZ3" s="622"/>
    </row>
    <row r="4" spans="1:52" s="22" customFormat="1" ht="58.95" customHeight="1">
      <c r="A4" s="144" t="s">
        <v>0</v>
      </c>
      <c r="B4" s="15" t="s">
        <v>461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9</v>
      </c>
      <c r="J4" s="15" t="s">
        <v>132</v>
      </c>
      <c r="K4" s="15" t="s">
        <v>10</v>
      </c>
      <c r="L4" s="15" t="s">
        <v>11</v>
      </c>
      <c r="M4" s="9" t="s">
        <v>658</v>
      </c>
      <c r="N4" s="9" t="s">
        <v>659</v>
      </c>
      <c r="O4" s="9" t="s">
        <v>660</v>
      </c>
      <c r="P4" s="9" t="s">
        <v>12</v>
      </c>
      <c r="Q4" s="9" t="s">
        <v>661</v>
      </c>
      <c r="R4" s="9" t="s">
        <v>662</v>
      </c>
      <c r="S4" s="9" t="s">
        <v>663</v>
      </c>
      <c r="T4" s="9" t="s">
        <v>664</v>
      </c>
      <c r="U4" s="9" t="s">
        <v>665</v>
      </c>
      <c r="V4" s="15" t="s">
        <v>13</v>
      </c>
      <c r="W4" s="15" t="s">
        <v>14</v>
      </c>
      <c r="X4" s="15" t="s">
        <v>15</v>
      </c>
      <c r="Y4" s="15" t="s">
        <v>225</v>
      </c>
      <c r="Z4" s="15" t="s">
        <v>575</v>
      </c>
      <c r="AA4" s="15" t="s">
        <v>79</v>
      </c>
      <c r="AB4" s="15" t="s">
        <v>257</v>
      </c>
      <c r="AC4" s="15" t="s">
        <v>16</v>
      </c>
      <c r="AD4" s="481" t="s">
        <v>954</v>
      </c>
      <c r="AE4" s="481" t="s">
        <v>955</v>
      </c>
      <c r="AF4" s="481" t="s">
        <v>956</v>
      </c>
      <c r="AG4" s="481" t="s">
        <v>957</v>
      </c>
      <c r="AH4" s="481" t="s">
        <v>958</v>
      </c>
      <c r="AI4" s="481" t="s">
        <v>959</v>
      </c>
      <c r="AJ4" s="481" t="s">
        <v>960</v>
      </c>
      <c r="AK4" s="481" t="s">
        <v>961</v>
      </c>
      <c r="AL4" s="481" t="s">
        <v>962</v>
      </c>
      <c r="AM4" s="19" t="s">
        <v>1046</v>
      </c>
      <c r="AN4" s="19" t="s">
        <v>635</v>
      </c>
      <c r="AO4" s="167" t="s">
        <v>13</v>
      </c>
      <c r="AP4" s="167" t="s">
        <v>14</v>
      </c>
      <c r="AQ4" s="167" t="s">
        <v>15</v>
      </c>
      <c r="AR4" s="167" t="s">
        <v>225</v>
      </c>
      <c r="AS4" s="167" t="s">
        <v>575</v>
      </c>
      <c r="AT4" s="15" t="s">
        <v>79</v>
      </c>
      <c r="AU4" s="167" t="s">
        <v>13</v>
      </c>
      <c r="AV4" s="167" t="s">
        <v>14</v>
      </c>
      <c r="AW4" s="167" t="s">
        <v>15</v>
      </c>
      <c r="AX4" s="167" t="s">
        <v>225</v>
      </c>
      <c r="AY4" s="167" t="s">
        <v>575</v>
      </c>
      <c r="AZ4" s="15" t="s">
        <v>79</v>
      </c>
    </row>
    <row r="5" spans="1:52" s="5" customFormat="1" ht="31.95" customHeight="1">
      <c r="A5" s="28">
        <v>1</v>
      </c>
      <c r="B5" s="3">
        <v>1486</v>
      </c>
      <c r="C5" s="3" t="s">
        <v>402</v>
      </c>
      <c r="D5" s="4">
        <v>9110365</v>
      </c>
      <c r="E5" s="4">
        <v>9110365</v>
      </c>
      <c r="F5" s="4">
        <f t="shared" ref="F5:F11" si="0">D5-E5</f>
        <v>0</v>
      </c>
      <c r="G5" s="4">
        <f>5990365+700000</f>
        <v>6690365</v>
      </c>
      <c r="H5" s="4">
        <v>5722633</v>
      </c>
      <c r="I5" s="4">
        <v>0</v>
      </c>
      <c r="J5" s="4">
        <v>682219</v>
      </c>
      <c r="K5" s="4">
        <f t="shared" ref="K5:K11" si="1">I5+J5</f>
        <v>682219</v>
      </c>
      <c r="L5" s="4">
        <f t="shared" ref="L5:L11" si="2">H5+K5</f>
        <v>6404852</v>
      </c>
      <c r="M5" s="4">
        <f t="shared" ref="M5:M11" si="3">P5+S5</f>
        <v>485513</v>
      </c>
      <c r="N5" s="4">
        <f>1800000-300000-300000</f>
        <v>1200000</v>
      </c>
      <c r="O5" s="4">
        <f t="shared" ref="O5:O11" si="4">D5-L5-M5-N5</f>
        <v>1020000</v>
      </c>
      <c r="P5" s="4">
        <f t="shared" ref="P5:P11" si="5">G5-L5</f>
        <v>285513</v>
      </c>
      <c r="Q5" s="4">
        <v>200000</v>
      </c>
      <c r="R5" s="4"/>
      <c r="S5" s="4">
        <f t="shared" ref="S5:S11" si="6">SUM(Q5:R5)</f>
        <v>200000</v>
      </c>
      <c r="T5" s="4">
        <v>0</v>
      </c>
      <c r="U5" s="4">
        <v>1200000</v>
      </c>
      <c r="V5" s="4"/>
      <c r="W5" s="4">
        <v>1200000</v>
      </c>
      <c r="X5" s="4"/>
      <c r="Y5" s="4"/>
      <c r="Z5" s="4"/>
      <c r="AA5" s="3"/>
      <c r="AB5" s="3" t="s">
        <v>298</v>
      </c>
      <c r="AC5" s="3">
        <v>930000</v>
      </c>
      <c r="AD5" s="4">
        <v>100000</v>
      </c>
      <c r="AE5" s="4">
        <v>200000</v>
      </c>
      <c r="AF5" s="4"/>
      <c r="AG5" s="4"/>
      <c r="AH5" s="4"/>
      <c r="AI5" s="4">
        <v>200000</v>
      </c>
      <c r="AJ5" s="4"/>
      <c r="AK5" s="4"/>
      <c r="AL5" s="435">
        <v>700000</v>
      </c>
      <c r="AM5" s="4">
        <v>1200000</v>
      </c>
      <c r="AN5" s="4">
        <v>0</v>
      </c>
      <c r="AO5" s="4"/>
      <c r="AP5" s="4">
        <v>1200000</v>
      </c>
      <c r="AQ5" s="4"/>
      <c r="AR5" s="4"/>
      <c r="AS5" s="4"/>
      <c r="AT5" s="4"/>
      <c r="AU5" s="4"/>
      <c r="AV5" s="4">
        <f>AL5-AU5-AZ5</f>
        <v>700000</v>
      </c>
      <c r="AW5" s="4"/>
      <c r="AX5" s="4"/>
      <c r="AY5" s="4"/>
      <c r="AZ5" s="4"/>
    </row>
    <row r="6" spans="1:52" s="5" customFormat="1" ht="31.95" customHeight="1">
      <c r="A6" s="28">
        <f t="shared" ref="A6:A14" si="7">1+A5</f>
        <v>2</v>
      </c>
      <c r="B6" s="3">
        <v>1582</v>
      </c>
      <c r="C6" s="3" t="s">
        <v>51</v>
      </c>
      <c r="D6" s="4">
        <v>2055000</v>
      </c>
      <c r="E6" s="4">
        <v>2055000</v>
      </c>
      <c r="F6" s="4">
        <f t="shared" si="0"/>
        <v>0</v>
      </c>
      <c r="G6" s="4">
        <v>934000</v>
      </c>
      <c r="H6" s="4">
        <v>929592</v>
      </c>
      <c r="I6" s="4">
        <v>0</v>
      </c>
      <c r="J6" s="4">
        <v>0</v>
      </c>
      <c r="K6" s="4">
        <f t="shared" si="1"/>
        <v>0</v>
      </c>
      <c r="L6" s="4">
        <f t="shared" si="2"/>
        <v>929592</v>
      </c>
      <c r="M6" s="4">
        <f t="shared" si="3"/>
        <v>4408</v>
      </c>
      <c r="N6" s="4">
        <f>1121000-1121000</f>
        <v>0</v>
      </c>
      <c r="O6" s="4">
        <f t="shared" si="4"/>
        <v>1121000</v>
      </c>
      <c r="P6" s="4">
        <f t="shared" si="5"/>
        <v>4408</v>
      </c>
      <c r="Q6" s="4"/>
      <c r="R6" s="4"/>
      <c r="S6" s="4">
        <f t="shared" si="6"/>
        <v>0</v>
      </c>
      <c r="T6" s="4">
        <v>0</v>
      </c>
      <c r="U6" s="4">
        <v>0</v>
      </c>
      <c r="V6" s="4"/>
      <c r="W6" s="4">
        <v>0</v>
      </c>
      <c r="X6" s="4"/>
      <c r="Y6" s="4"/>
      <c r="Z6" s="4"/>
      <c r="AA6" s="3"/>
      <c r="AB6" s="59" t="s">
        <v>1030</v>
      </c>
      <c r="AC6" s="3">
        <v>829000</v>
      </c>
      <c r="AD6" s="4"/>
      <c r="AE6" s="4"/>
      <c r="AF6" s="4"/>
      <c r="AG6" s="4"/>
      <c r="AH6" s="4"/>
      <c r="AI6" s="4"/>
      <c r="AJ6" s="4"/>
      <c r="AK6" s="4"/>
      <c r="AL6" s="4"/>
      <c r="AM6" s="4">
        <v>0</v>
      </c>
      <c r="AN6" s="4">
        <v>0</v>
      </c>
      <c r="AO6" s="4"/>
      <c r="AP6" s="4">
        <v>0</v>
      </c>
      <c r="AQ6" s="4"/>
      <c r="AR6" s="4"/>
      <c r="AS6" s="4"/>
      <c r="AT6" s="4"/>
      <c r="AU6" s="4"/>
      <c r="AV6" s="4">
        <f t="shared" ref="AV6:AV14" si="8">AL6-AU6-AZ6</f>
        <v>0</v>
      </c>
      <c r="AW6" s="4"/>
      <c r="AX6" s="4"/>
      <c r="AY6" s="4"/>
      <c r="AZ6" s="4"/>
    </row>
    <row r="7" spans="1:52" s="5" customFormat="1" ht="31.95" customHeight="1">
      <c r="A7" s="28">
        <f t="shared" si="7"/>
        <v>3</v>
      </c>
      <c r="B7" s="3">
        <v>1678</v>
      </c>
      <c r="C7" s="3" t="s">
        <v>360</v>
      </c>
      <c r="D7" s="4">
        <f>1910000+100000</f>
        <v>2010000</v>
      </c>
      <c r="E7" s="4">
        <v>1910000</v>
      </c>
      <c r="F7" s="4">
        <f t="shared" si="0"/>
        <v>100000</v>
      </c>
      <c r="G7" s="4">
        <v>1810000</v>
      </c>
      <c r="H7" s="4">
        <v>1632556</v>
      </c>
      <c r="I7" s="4">
        <v>0</v>
      </c>
      <c r="J7" s="4">
        <v>176470</v>
      </c>
      <c r="K7" s="4">
        <f t="shared" si="1"/>
        <v>176470</v>
      </c>
      <c r="L7" s="4">
        <f t="shared" si="2"/>
        <v>1809026</v>
      </c>
      <c r="M7" s="4">
        <f t="shared" si="3"/>
        <v>974</v>
      </c>
      <c r="N7" s="4">
        <v>200000</v>
      </c>
      <c r="O7" s="4">
        <f t="shared" si="4"/>
        <v>0</v>
      </c>
      <c r="P7" s="4">
        <f t="shared" si="5"/>
        <v>974</v>
      </c>
      <c r="Q7" s="4"/>
      <c r="R7" s="4"/>
      <c r="S7" s="4">
        <f t="shared" si="6"/>
        <v>0</v>
      </c>
      <c r="T7" s="4">
        <v>0</v>
      </c>
      <c r="U7" s="4">
        <v>200000</v>
      </c>
      <c r="V7" s="4"/>
      <c r="W7" s="4">
        <v>200000</v>
      </c>
      <c r="X7" s="4"/>
      <c r="Y7" s="4"/>
      <c r="Z7" s="4"/>
      <c r="AA7" s="3"/>
      <c r="AB7" s="3" t="s">
        <v>361</v>
      </c>
      <c r="AC7" s="3">
        <v>829000</v>
      </c>
      <c r="AD7" s="4"/>
      <c r="AE7" s="4">
        <v>200000</v>
      </c>
      <c r="AF7" s="4"/>
      <c r="AG7" s="4"/>
      <c r="AH7" s="4"/>
      <c r="AI7" s="4"/>
      <c r="AJ7" s="4"/>
      <c r="AK7" s="4"/>
      <c r="AL7" s="4"/>
      <c r="AM7" s="4">
        <v>200000</v>
      </c>
      <c r="AN7" s="4">
        <v>0</v>
      </c>
      <c r="AO7" s="4"/>
      <c r="AP7" s="4">
        <v>200000</v>
      </c>
      <c r="AQ7" s="4"/>
      <c r="AR7" s="4"/>
      <c r="AS7" s="4"/>
      <c r="AT7" s="4"/>
      <c r="AU7" s="4"/>
      <c r="AV7" s="4">
        <f t="shared" si="8"/>
        <v>0</v>
      </c>
      <c r="AW7" s="4"/>
      <c r="AX7" s="4"/>
      <c r="AY7" s="4"/>
      <c r="AZ7" s="4"/>
    </row>
    <row r="8" spans="1:52" s="5" customFormat="1" ht="31.95" customHeight="1">
      <c r="A8" s="28">
        <f t="shared" si="7"/>
        <v>4</v>
      </c>
      <c r="B8" s="230">
        <v>2004</v>
      </c>
      <c r="C8" s="3" t="s">
        <v>134</v>
      </c>
      <c r="D8" s="4">
        <f>995000+190000</f>
        <v>1185000</v>
      </c>
      <c r="E8" s="4">
        <v>995000</v>
      </c>
      <c r="F8" s="4">
        <f t="shared" si="0"/>
        <v>190000</v>
      </c>
      <c r="G8" s="4">
        <v>975000</v>
      </c>
      <c r="H8" s="4">
        <v>789543</v>
      </c>
      <c r="I8" s="4"/>
      <c r="J8" s="4">
        <v>185455</v>
      </c>
      <c r="K8" s="4">
        <f t="shared" si="1"/>
        <v>185455</v>
      </c>
      <c r="L8" s="4">
        <f t="shared" si="2"/>
        <v>974998</v>
      </c>
      <c r="M8" s="4">
        <f t="shared" si="3"/>
        <v>2</v>
      </c>
      <c r="N8" s="4">
        <v>210000</v>
      </c>
      <c r="O8" s="4">
        <f t="shared" si="4"/>
        <v>0</v>
      </c>
      <c r="P8" s="4">
        <f t="shared" si="5"/>
        <v>2</v>
      </c>
      <c r="Q8" s="4"/>
      <c r="R8" s="4"/>
      <c r="S8" s="4">
        <f t="shared" si="6"/>
        <v>0</v>
      </c>
      <c r="T8" s="4">
        <v>0</v>
      </c>
      <c r="U8" s="4">
        <v>210000</v>
      </c>
      <c r="V8" s="4"/>
      <c r="W8" s="4">
        <v>210000</v>
      </c>
      <c r="X8" s="4"/>
      <c r="Y8" s="4"/>
      <c r="Z8" s="4"/>
      <c r="AA8" s="3"/>
      <c r="AB8" s="3" t="s">
        <v>1031</v>
      </c>
      <c r="AC8" s="3">
        <v>829000</v>
      </c>
      <c r="AD8" s="4"/>
      <c r="AE8" s="4"/>
      <c r="AF8" s="4">
        <v>210000</v>
      </c>
      <c r="AG8" s="4"/>
      <c r="AH8" s="4"/>
      <c r="AI8" s="4"/>
      <c r="AJ8" s="4"/>
      <c r="AK8" s="4"/>
      <c r="AL8" s="4"/>
      <c r="AM8" s="4">
        <v>210000</v>
      </c>
      <c r="AN8" s="4">
        <v>0</v>
      </c>
      <c r="AO8" s="4"/>
      <c r="AP8" s="4">
        <v>210000</v>
      </c>
      <c r="AQ8" s="4"/>
      <c r="AR8" s="4"/>
      <c r="AS8" s="4"/>
      <c r="AT8" s="4"/>
      <c r="AU8" s="4"/>
      <c r="AV8" s="4">
        <f t="shared" si="8"/>
        <v>0</v>
      </c>
      <c r="AW8" s="4"/>
      <c r="AX8" s="4"/>
      <c r="AY8" s="4"/>
      <c r="AZ8" s="4"/>
    </row>
    <row r="9" spans="1:52" s="5" customFormat="1" ht="31.95" customHeight="1">
      <c r="A9" s="28">
        <f t="shared" si="7"/>
        <v>5</v>
      </c>
      <c r="B9" s="3">
        <v>2031</v>
      </c>
      <c r="C9" s="3" t="s">
        <v>299</v>
      </c>
      <c r="D9" s="4">
        <v>2700000</v>
      </c>
      <c r="E9" s="4">
        <v>2700000</v>
      </c>
      <c r="F9" s="4">
        <f t="shared" si="0"/>
        <v>0</v>
      </c>
      <c r="G9" s="4">
        <v>2600000</v>
      </c>
      <c r="H9" s="4">
        <v>2050905</v>
      </c>
      <c r="I9" s="4">
        <v>0</v>
      </c>
      <c r="J9" s="4">
        <v>341263</v>
      </c>
      <c r="K9" s="4">
        <f t="shared" si="1"/>
        <v>341263</v>
      </c>
      <c r="L9" s="4">
        <f t="shared" si="2"/>
        <v>2392168</v>
      </c>
      <c r="M9" s="4">
        <f t="shared" si="3"/>
        <v>207832</v>
      </c>
      <c r="N9" s="4">
        <v>100000</v>
      </c>
      <c r="O9" s="4">
        <f t="shared" si="4"/>
        <v>0</v>
      </c>
      <c r="P9" s="4">
        <f t="shared" si="5"/>
        <v>207832</v>
      </c>
      <c r="Q9" s="4"/>
      <c r="R9" s="4"/>
      <c r="S9" s="4">
        <f t="shared" si="6"/>
        <v>0</v>
      </c>
      <c r="T9" s="4">
        <v>0</v>
      </c>
      <c r="U9" s="4">
        <v>100000</v>
      </c>
      <c r="V9" s="4"/>
      <c r="W9" s="4">
        <v>100000</v>
      </c>
      <c r="X9" s="4"/>
      <c r="Y9" s="4"/>
      <c r="Z9" s="4"/>
      <c r="AA9" s="3"/>
      <c r="AB9" s="3" t="s">
        <v>499</v>
      </c>
      <c r="AC9" s="3">
        <v>826000</v>
      </c>
      <c r="AD9" s="4"/>
      <c r="AE9" s="4">
        <v>100000</v>
      </c>
      <c r="AF9" s="4"/>
      <c r="AG9" s="4"/>
      <c r="AH9" s="4"/>
      <c r="AI9" s="4"/>
      <c r="AJ9" s="4"/>
      <c r="AK9" s="4"/>
      <c r="AL9" s="4"/>
      <c r="AM9" s="4">
        <v>100000</v>
      </c>
      <c r="AN9" s="4">
        <v>0</v>
      </c>
      <c r="AO9" s="4"/>
      <c r="AP9" s="4">
        <v>100000</v>
      </c>
      <c r="AQ9" s="4"/>
      <c r="AR9" s="4"/>
      <c r="AS9" s="4"/>
      <c r="AT9" s="4"/>
      <c r="AU9" s="4"/>
      <c r="AV9" s="4">
        <f t="shared" si="8"/>
        <v>0</v>
      </c>
      <c r="AW9" s="4"/>
      <c r="AX9" s="4"/>
      <c r="AY9" s="4"/>
      <c r="AZ9" s="4"/>
    </row>
    <row r="10" spans="1:52" s="5" customFormat="1" ht="31.95" customHeight="1">
      <c r="A10" s="28">
        <f t="shared" si="7"/>
        <v>6</v>
      </c>
      <c r="B10" s="230">
        <v>2060</v>
      </c>
      <c r="C10" s="3" t="s">
        <v>359</v>
      </c>
      <c r="D10" s="4">
        <f>2206000+315000</f>
        <v>2521000</v>
      </c>
      <c r="E10" s="4">
        <v>2206000</v>
      </c>
      <c r="F10" s="4">
        <f t="shared" si="0"/>
        <v>315000</v>
      </c>
      <c r="G10" s="4">
        <v>2206000</v>
      </c>
      <c r="H10" s="4">
        <v>1826000</v>
      </c>
      <c r="I10" s="4">
        <v>0</v>
      </c>
      <c r="J10" s="4">
        <v>379274</v>
      </c>
      <c r="K10" s="4">
        <f t="shared" si="1"/>
        <v>379274</v>
      </c>
      <c r="L10" s="4">
        <f t="shared" si="2"/>
        <v>2205274</v>
      </c>
      <c r="M10" s="4">
        <f t="shared" si="3"/>
        <v>726</v>
      </c>
      <c r="N10" s="4">
        <v>315000</v>
      </c>
      <c r="O10" s="4">
        <f t="shared" si="4"/>
        <v>0</v>
      </c>
      <c r="P10" s="4">
        <f t="shared" si="5"/>
        <v>726</v>
      </c>
      <c r="Q10" s="4"/>
      <c r="R10" s="4"/>
      <c r="S10" s="4">
        <f t="shared" si="6"/>
        <v>0</v>
      </c>
      <c r="T10" s="4">
        <v>0</v>
      </c>
      <c r="U10" s="4">
        <v>315000</v>
      </c>
      <c r="V10" s="4"/>
      <c r="W10" s="4">
        <v>315000</v>
      </c>
      <c r="X10" s="4"/>
      <c r="Y10" s="4"/>
      <c r="Z10" s="4"/>
      <c r="AA10" s="4"/>
      <c r="AB10" s="3" t="s">
        <v>1032</v>
      </c>
      <c r="AC10" s="3">
        <v>829000</v>
      </c>
      <c r="AD10" s="4"/>
      <c r="AE10" s="4"/>
      <c r="AF10" s="4">
        <v>205000</v>
      </c>
      <c r="AG10" s="4"/>
      <c r="AH10" s="4"/>
      <c r="AI10" s="4"/>
      <c r="AJ10" s="4">
        <v>110000</v>
      </c>
      <c r="AK10" s="4"/>
      <c r="AL10" s="4"/>
      <c r="AM10" s="4">
        <v>315000</v>
      </c>
      <c r="AN10" s="4">
        <v>0</v>
      </c>
      <c r="AO10" s="4"/>
      <c r="AP10" s="4">
        <v>315000</v>
      </c>
      <c r="AQ10" s="4"/>
      <c r="AR10" s="4"/>
      <c r="AS10" s="4"/>
      <c r="AT10" s="4"/>
      <c r="AU10" s="4"/>
      <c r="AV10" s="4">
        <f t="shared" si="8"/>
        <v>0</v>
      </c>
      <c r="AW10" s="4"/>
      <c r="AX10" s="4"/>
      <c r="AY10" s="4"/>
      <c r="AZ10" s="4"/>
    </row>
    <row r="11" spans="1:52" s="5" customFormat="1" ht="31.95" customHeight="1">
      <c r="A11" s="28">
        <f t="shared" si="7"/>
        <v>7</v>
      </c>
      <c r="B11" s="312">
        <v>2162</v>
      </c>
      <c r="C11" s="3" t="s">
        <v>1033</v>
      </c>
      <c r="D11" s="4">
        <f>540000-100000</f>
        <v>440000</v>
      </c>
      <c r="E11" s="4">
        <v>540000</v>
      </c>
      <c r="F11" s="4">
        <f t="shared" si="0"/>
        <v>-100000</v>
      </c>
      <c r="G11" s="4">
        <v>440000</v>
      </c>
      <c r="H11" s="4">
        <v>0</v>
      </c>
      <c r="I11" s="4">
        <v>0</v>
      </c>
      <c r="J11" s="4">
        <v>439989</v>
      </c>
      <c r="K11" s="4">
        <f t="shared" si="1"/>
        <v>439989</v>
      </c>
      <c r="L11" s="4">
        <f t="shared" si="2"/>
        <v>439989</v>
      </c>
      <c r="M11" s="4">
        <f t="shared" si="3"/>
        <v>11</v>
      </c>
      <c r="N11" s="4"/>
      <c r="O11" s="4">
        <f t="shared" si="4"/>
        <v>0</v>
      </c>
      <c r="P11" s="4">
        <f t="shared" si="5"/>
        <v>11</v>
      </c>
      <c r="Q11" s="4"/>
      <c r="R11" s="4"/>
      <c r="S11" s="4">
        <f t="shared" si="6"/>
        <v>0</v>
      </c>
      <c r="T11" s="4">
        <v>0</v>
      </c>
      <c r="U11" s="4">
        <v>0</v>
      </c>
      <c r="V11" s="4"/>
      <c r="W11" s="4">
        <v>0</v>
      </c>
      <c r="X11" s="4"/>
      <c r="Y11" s="4"/>
      <c r="Z11" s="4"/>
      <c r="AA11" s="4"/>
      <c r="AB11" s="3" t="s">
        <v>1518</v>
      </c>
      <c r="AC11" s="3">
        <v>828000</v>
      </c>
      <c r="AD11" s="4"/>
      <c r="AE11" s="4"/>
      <c r="AF11" s="4"/>
      <c r="AG11" s="4"/>
      <c r="AH11" s="4"/>
      <c r="AI11" s="4"/>
      <c r="AJ11" s="4"/>
      <c r="AK11" s="4"/>
      <c r="AL11" s="4"/>
      <c r="AM11" s="4">
        <v>0</v>
      </c>
      <c r="AN11" s="4">
        <v>0</v>
      </c>
      <c r="AO11" s="4"/>
      <c r="AP11" s="4">
        <v>0</v>
      </c>
      <c r="AQ11" s="4"/>
      <c r="AR11" s="4"/>
      <c r="AS11" s="4"/>
      <c r="AT11" s="4"/>
      <c r="AU11" s="4"/>
      <c r="AV11" s="4">
        <f t="shared" si="8"/>
        <v>0</v>
      </c>
      <c r="AW11" s="4"/>
      <c r="AX11" s="4"/>
      <c r="AY11" s="4"/>
      <c r="AZ11" s="4"/>
    </row>
    <row r="12" spans="1:52" s="5" customFormat="1" ht="31.95" customHeight="1">
      <c r="A12" s="28">
        <f t="shared" si="7"/>
        <v>8</v>
      </c>
      <c r="B12" s="28">
        <v>20045</v>
      </c>
      <c r="C12" s="3" t="s">
        <v>1034</v>
      </c>
      <c r="D12" s="4">
        <v>370000</v>
      </c>
      <c r="E12" s="4"/>
      <c r="F12" s="4">
        <f>D12-E12</f>
        <v>370000</v>
      </c>
      <c r="G12" s="4">
        <v>0</v>
      </c>
      <c r="H12" s="4">
        <v>0</v>
      </c>
      <c r="I12" s="4">
        <v>0</v>
      </c>
      <c r="J12" s="4">
        <v>0</v>
      </c>
      <c r="K12" s="4">
        <f>SUM(I12:J12)</f>
        <v>0</v>
      </c>
      <c r="L12" s="4">
        <f>H12+K12</f>
        <v>0</v>
      </c>
      <c r="M12" s="4">
        <f>P12+S12</f>
        <v>0</v>
      </c>
      <c r="N12" s="4">
        <v>370000</v>
      </c>
      <c r="O12" s="4">
        <f>D12-L12-M12-N12</f>
        <v>0</v>
      </c>
      <c r="P12" s="4">
        <f>G12-L12</f>
        <v>0</v>
      </c>
      <c r="Q12" s="4"/>
      <c r="R12" s="4"/>
      <c r="S12" s="4">
        <f>SUM(Q12:R12)</f>
        <v>0</v>
      </c>
      <c r="T12" s="4">
        <v>0</v>
      </c>
      <c r="U12" s="4">
        <v>370000</v>
      </c>
      <c r="V12" s="4"/>
      <c r="W12" s="4">
        <v>370000</v>
      </c>
      <c r="X12" s="4"/>
      <c r="Y12" s="4"/>
      <c r="Z12" s="4"/>
      <c r="AA12" s="4"/>
      <c r="AB12" s="3" t="s">
        <v>1035</v>
      </c>
      <c r="AC12" s="3">
        <v>829000</v>
      </c>
      <c r="AD12" s="4">
        <v>179000</v>
      </c>
      <c r="AE12" s="4"/>
      <c r="AF12" s="4"/>
      <c r="AG12" s="4"/>
      <c r="AH12" s="4"/>
      <c r="AI12" s="4"/>
      <c r="AJ12" s="4">
        <v>191000</v>
      </c>
      <c r="AK12" s="4"/>
      <c r="AL12" s="4"/>
      <c r="AM12" s="4">
        <v>370000</v>
      </c>
      <c r="AN12" s="4">
        <v>0</v>
      </c>
      <c r="AO12" s="4"/>
      <c r="AP12" s="4">
        <v>370000</v>
      </c>
      <c r="AQ12" s="4"/>
      <c r="AR12" s="4"/>
      <c r="AS12" s="4"/>
      <c r="AT12" s="4"/>
      <c r="AU12" s="4"/>
      <c r="AV12" s="4">
        <f t="shared" si="8"/>
        <v>0</v>
      </c>
      <c r="AW12" s="4"/>
      <c r="AX12" s="4"/>
      <c r="AY12" s="4"/>
      <c r="AZ12" s="4"/>
    </row>
    <row r="13" spans="1:52" s="5" customFormat="1" ht="31.95" customHeight="1">
      <c r="A13" s="28">
        <f t="shared" si="7"/>
        <v>9</v>
      </c>
      <c r="B13" s="28">
        <v>20046</v>
      </c>
      <c r="C13" s="3" t="s">
        <v>764</v>
      </c>
      <c r="D13" s="4">
        <f>105000+130000</f>
        <v>235000</v>
      </c>
      <c r="E13" s="4"/>
      <c r="F13" s="4">
        <f>D13-E13</f>
        <v>235000</v>
      </c>
      <c r="G13" s="4">
        <v>0</v>
      </c>
      <c r="H13" s="4">
        <v>0</v>
      </c>
      <c r="I13" s="4">
        <v>0</v>
      </c>
      <c r="J13" s="4">
        <v>0</v>
      </c>
      <c r="K13" s="4">
        <f>SUM(I13:J13)</f>
        <v>0</v>
      </c>
      <c r="L13" s="4">
        <f>H13+K13</f>
        <v>0</v>
      </c>
      <c r="M13" s="4">
        <f>P13+S13</f>
        <v>0</v>
      </c>
      <c r="N13" s="4">
        <v>235000</v>
      </c>
      <c r="O13" s="4">
        <f>D13-L13-M13-N13</f>
        <v>0</v>
      </c>
      <c r="P13" s="4">
        <f>G13-L13</f>
        <v>0</v>
      </c>
      <c r="Q13" s="4"/>
      <c r="R13" s="4"/>
      <c r="S13" s="4">
        <f>SUM(Q13:R13)</f>
        <v>0</v>
      </c>
      <c r="T13" s="4">
        <v>0</v>
      </c>
      <c r="U13" s="4">
        <v>235000</v>
      </c>
      <c r="V13" s="4"/>
      <c r="W13" s="4">
        <v>235000</v>
      </c>
      <c r="X13" s="4"/>
      <c r="Y13" s="4"/>
      <c r="Z13" s="4"/>
      <c r="AA13" s="4"/>
      <c r="AB13" s="3" t="s">
        <v>765</v>
      </c>
      <c r="AC13" s="3">
        <v>829000</v>
      </c>
      <c r="AD13" s="4"/>
      <c r="AE13" s="4">
        <v>235000</v>
      </c>
      <c r="AF13" s="4"/>
      <c r="AG13" s="4"/>
      <c r="AH13" s="4"/>
      <c r="AI13" s="4"/>
      <c r="AJ13" s="4"/>
      <c r="AK13" s="4"/>
      <c r="AL13" s="4"/>
      <c r="AM13" s="4">
        <v>235000</v>
      </c>
      <c r="AN13" s="4">
        <v>0</v>
      </c>
      <c r="AO13" s="4"/>
      <c r="AP13" s="4">
        <v>235000</v>
      </c>
      <c r="AQ13" s="4"/>
      <c r="AR13" s="4"/>
      <c r="AS13" s="4"/>
      <c r="AT13" s="4"/>
      <c r="AU13" s="4"/>
      <c r="AV13" s="4">
        <f t="shared" si="8"/>
        <v>0</v>
      </c>
      <c r="AW13" s="4"/>
      <c r="AX13" s="4"/>
      <c r="AY13" s="4"/>
      <c r="AZ13" s="4"/>
    </row>
    <row r="14" spans="1:52" s="5" customFormat="1" ht="31.95" customHeight="1">
      <c r="A14" s="28">
        <f t="shared" si="7"/>
        <v>10</v>
      </c>
      <c r="B14" s="28">
        <v>20047</v>
      </c>
      <c r="C14" s="3" t="s">
        <v>1274</v>
      </c>
      <c r="D14" s="4">
        <v>340000</v>
      </c>
      <c r="E14" s="4"/>
      <c r="F14" s="4">
        <f>D14-E14</f>
        <v>340000</v>
      </c>
      <c r="G14" s="4">
        <v>0</v>
      </c>
      <c r="H14" s="4">
        <v>0</v>
      </c>
      <c r="I14" s="4">
        <v>0</v>
      </c>
      <c r="J14" s="4">
        <v>0</v>
      </c>
      <c r="K14" s="4">
        <f>SUM(I14:J14)</f>
        <v>0</v>
      </c>
      <c r="L14" s="4">
        <f>H14+K14</f>
        <v>0</v>
      </c>
      <c r="M14" s="4">
        <f>P14+S14</f>
        <v>0</v>
      </c>
      <c r="N14" s="4">
        <v>340000</v>
      </c>
      <c r="O14" s="4">
        <f>D14-L14-M14-N14</f>
        <v>0</v>
      </c>
      <c r="P14" s="4">
        <f>G14-L14</f>
        <v>0</v>
      </c>
      <c r="Q14" s="4"/>
      <c r="R14" s="4"/>
      <c r="S14" s="4">
        <f>SUM(Q14:R14)</f>
        <v>0</v>
      </c>
      <c r="T14" s="4">
        <v>0</v>
      </c>
      <c r="U14" s="4">
        <v>340000</v>
      </c>
      <c r="V14" s="4">
        <v>210000</v>
      </c>
      <c r="W14" s="4">
        <v>130000</v>
      </c>
      <c r="X14" s="4"/>
      <c r="Y14" s="4"/>
      <c r="Z14" s="4"/>
      <c r="AA14" s="4"/>
      <c r="AB14" s="3" t="s">
        <v>1036</v>
      </c>
      <c r="AC14" s="3">
        <v>829000</v>
      </c>
      <c r="AD14" s="511"/>
      <c r="AE14" s="511"/>
      <c r="AF14" s="511"/>
      <c r="AG14" s="511"/>
      <c r="AH14" s="511"/>
      <c r="AI14" s="511"/>
      <c r="AJ14" s="511"/>
      <c r="AK14" s="4">
        <v>210000</v>
      </c>
      <c r="AL14" s="435">
        <v>0</v>
      </c>
      <c r="AM14" s="4">
        <v>210000</v>
      </c>
      <c r="AN14" s="4">
        <v>130000</v>
      </c>
      <c r="AO14" s="4">
        <v>210000</v>
      </c>
      <c r="AP14" s="4">
        <v>0</v>
      </c>
      <c r="AQ14" s="4"/>
      <c r="AR14" s="4"/>
      <c r="AS14" s="4"/>
      <c r="AT14" s="4"/>
      <c r="AU14" s="4"/>
      <c r="AV14" s="4">
        <f t="shared" si="8"/>
        <v>0</v>
      </c>
      <c r="AW14" s="4"/>
      <c r="AX14" s="4"/>
      <c r="AY14" s="4"/>
      <c r="AZ14" s="4"/>
    </row>
    <row r="15" spans="1:52" s="57" customFormat="1" ht="31.95" customHeight="1">
      <c r="A15" s="29">
        <f>A14</f>
        <v>10</v>
      </c>
      <c r="B15" s="29"/>
      <c r="C15" s="159" t="s">
        <v>342</v>
      </c>
      <c r="D15" s="60">
        <f>SUM(D5:D14)</f>
        <v>20966365</v>
      </c>
      <c r="E15" s="60">
        <f t="shared" ref="E15:S15" si="9">SUM(E5:E14)</f>
        <v>19516365</v>
      </c>
      <c r="F15" s="60">
        <f t="shared" si="9"/>
        <v>1450000</v>
      </c>
      <c r="G15" s="60">
        <f t="shared" si="9"/>
        <v>15655365</v>
      </c>
      <c r="H15" s="60">
        <f t="shared" si="9"/>
        <v>12951229</v>
      </c>
      <c r="I15" s="60">
        <f t="shared" si="9"/>
        <v>0</v>
      </c>
      <c r="J15" s="60">
        <f t="shared" si="9"/>
        <v>2204670</v>
      </c>
      <c r="K15" s="60">
        <f t="shared" si="9"/>
        <v>2204670</v>
      </c>
      <c r="L15" s="60">
        <f t="shared" si="9"/>
        <v>15155899</v>
      </c>
      <c r="M15" s="60">
        <f t="shared" si="9"/>
        <v>699466</v>
      </c>
      <c r="N15" s="60">
        <f t="shared" si="9"/>
        <v>2970000</v>
      </c>
      <c r="O15" s="60">
        <f t="shared" si="9"/>
        <v>2141000</v>
      </c>
      <c r="P15" s="60">
        <f t="shared" si="9"/>
        <v>499466</v>
      </c>
      <c r="Q15" s="60">
        <f t="shared" si="9"/>
        <v>200000</v>
      </c>
      <c r="R15" s="60">
        <f t="shared" si="9"/>
        <v>0</v>
      </c>
      <c r="S15" s="60">
        <f t="shared" si="9"/>
        <v>200000</v>
      </c>
      <c r="T15" s="60">
        <v>0</v>
      </c>
      <c r="U15" s="60">
        <v>2970000</v>
      </c>
      <c r="V15" s="60">
        <v>210000</v>
      </c>
      <c r="W15" s="60">
        <v>2760000</v>
      </c>
      <c r="X15" s="60">
        <v>0</v>
      </c>
      <c r="Y15" s="60">
        <v>0</v>
      </c>
      <c r="Z15" s="60">
        <v>0</v>
      </c>
      <c r="AA15" s="60">
        <v>0</v>
      </c>
      <c r="AB15" s="270"/>
      <c r="AC15" s="29"/>
      <c r="AD15" s="60">
        <v>279000</v>
      </c>
      <c r="AE15" s="60">
        <v>735000</v>
      </c>
      <c r="AF15" s="60">
        <v>415000</v>
      </c>
      <c r="AG15" s="60">
        <v>0</v>
      </c>
      <c r="AH15" s="60">
        <v>0</v>
      </c>
      <c r="AI15" s="60">
        <v>200000</v>
      </c>
      <c r="AJ15" s="60">
        <v>301000</v>
      </c>
      <c r="AK15" s="60">
        <v>210000</v>
      </c>
      <c r="AL15" s="60">
        <v>700000</v>
      </c>
      <c r="AM15" s="60">
        <v>2840000</v>
      </c>
      <c r="AN15" s="60">
        <v>130000</v>
      </c>
      <c r="AO15" s="60">
        <v>210000</v>
      </c>
      <c r="AP15" s="60">
        <v>2630000</v>
      </c>
      <c r="AQ15" s="60">
        <v>0</v>
      </c>
      <c r="AR15" s="60">
        <v>0</v>
      </c>
      <c r="AS15" s="60">
        <v>0</v>
      </c>
      <c r="AT15" s="60">
        <v>0</v>
      </c>
      <c r="AU15" s="60">
        <f t="shared" ref="AU15:AZ15" si="10">SUM(AU5:AU14)</f>
        <v>0</v>
      </c>
      <c r="AV15" s="60">
        <f t="shared" si="10"/>
        <v>700000</v>
      </c>
      <c r="AW15" s="60">
        <f t="shared" si="10"/>
        <v>0</v>
      </c>
      <c r="AX15" s="60">
        <f t="shared" si="10"/>
        <v>0</v>
      </c>
      <c r="AY15" s="60">
        <f t="shared" si="10"/>
        <v>0</v>
      </c>
      <c r="AZ15" s="60">
        <f t="shared" si="10"/>
        <v>0</v>
      </c>
    </row>
    <row r="16" spans="1:52" s="5" customFormat="1" hidden="1">
      <c r="A16" s="21"/>
      <c r="B16" s="11"/>
      <c r="C16" s="11"/>
      <c r="D16" s="13"/>
      <c r="E16" s="13"/>
      <c r="F16" s="13"/>
      <c r="G16" s="13"/>
      <c r="H16" s="13"/>
      <c r="I16" s="13"/>
      <c r="J16" s="13"/>
      <c r="K16" s="13"/>
      <c r="L16" s="18">
        <f>K15+H15</f>
        <v>15155899</v>
      </c>
      <c r="M16" s="18">
        <f>P16+S15-T15</f>
        <v>699466</v>
      </c>
      <c r="N16" s="13"/>
      <c r="O16" s="13"/>
      <c r="P16" s="18">
        <f>G15-L16</f>
        <v>499466</v>
      </c>
      <c r="Q16" s="13"/>
      <c r="R16" s="13"/>
      <c r="S16" s="13"/>
      <c r="T16" s="13">
        <f>P16+S15-M15</f>
        <v>0</v>
      </c>
      <c r="U16" s="13">
        <f>N15-T15</f>
        <v>2970000</v>
      </c>
      <c r="V16" s="11"/>
      <c r="W16" s="11"/>
      <c r="X16" s="11"/>
      <c r="Y16" s="11"/>
      <c r="Z16" s="11"/>
      <c r="AA16" s="11"/>
      <c r="AB16" s="11"/>
      <c r="AC16" s="11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U16" s="510"/>
      <c r="AV16" s="510"/>
      <c r="AW16" s="510"/>
    </row>
    <row r="17" spans="13:27">
      <c r="M17" s="20"/>
      <c r="N17" s="20"/>
      <c r="O17" s="20"/>
      <c r="P17" s="21"/>
      <c r="Q17" s="20"/>
      <c r="R17" s="20"/>
      <c r="S17" s="20"/>
    </row>
    <row r="18" spans="13:27">
      <c r="M18" s="20"/>
      <c r="N18" s="20"/>
      <c r="O18" s="20"/>
      <c r="P18" s="20"/>
      <c r="Q18" s="20"/>
      <c r="R18" s="20"/>
      <c r="S18" s="20"/>
    </row>
    <row r="19" spans="13:27">
      <c r="M19" s="20"/>
      <c r="N19" s="20"/>
      <c r="U19" s="13"/>
      <c r="V19" s="13"/>
      <c r="W19" s="13"/>
      <c r="X19" s="13"/>
      <c r="Y19" s="13"/>
      <c r="Z19" s="13"/>
      <c r="AA19" s="13"/>
    </row>
    <row r="20" spans="13:27">
      <c r="M20" s="20"/>
      <c r="N20" s="20"/>
      <c r="U20" s="13"/>
      <c r="V20" s="13"/>
      <c r="W20" s="13"/>
      <c r="X20" s="13"/>
      <c r="Y20" s="13"/>
      <c r="Z20" s="13"/>
      <c r="AA20" s="13"/>
    </row>
    <row r="21" spans="13:27">
      <c r="M21" s="20"/>
      <c r="N21" s="20"/>
      <c r="U21" s="13"/>
      <c r="V21" s="13"/>
      <c r="W21" s="13"/>
      <c r="X21" s="13"/>
      <c r="Y21" s="13"/>
      <c r="Z21" s="13"/>
      <c r="AA21" s="13"/>
    </row>
    <row r="22" spans="13:27">
      <c r="U22" s="13"/>
      <c r="V22" s="13"/>
      <c r="W22" s="13"/>
      <c r="X22" s="13"/>
      <c r="Y22" s="13"/>
      <c r="Z22" s="13"/>
      <c r="AA22" s="13"/>
    </row>
    <row r="23" spans="13:27">
      <c r="U23" s="13"/>
      <c r="V23" s="13"/>
      <c r="W23" s="13"/>
      <c r="X23" s="13"/>
      <c r="Y23" s="13"/>
      <c r="Z23" s="13"/>
      <c r="AA23" s="13"/>
    </row>
    <row r="24" spans="13:27">
      <c r="U24" s="13"/>
      <c r="V24" s="13"/>
      <c r="W24" s="13"/>
      <c r="X24" s="13"/>
      <c r="Y24" s="13"/>
      <c r="Z24" s="13"/>
      <c r="AA24" s="13"/>
    </row>
    <row r="25" spans="13:27">
      <c r="U25" s="13"/>
      <c r="V25" s="13"/>
      <c r="W25" s="13"/>
      <c r="X25" s="13"/>
      <c r="Y25" s="13"/>
      <c r="Z25" s="13"/>
      <c r="AA25" s="13"/>
    </row>
  </sheetData>
  <sheetProtection formatCells="0" formatColumns="0" formatRows="0" insertColumns="0" insertRows="0" insertHyperlinks="0" deleteColumns="0" deleteRows="0" sort="0" autoFilter="0" pivotTables="0"/>
  <mergeCells count="5">
    <mergeCell ref="T3:U3"/>
    <mergeCell ref="V3:AA3"/>
    <mergeCell ref="AD3:AN3"/>
    <mergeCell ref="AO3:AT3"/>
    <mergeCell ref="AU3:AZ3"/>
  </mergeCells>
  <conditionalFormatting sqref="A1:A2 AD1:AD4 AD16:AD1048576 AD14 AK16:AK1048576 AK1:AK3 AM1:AT2 AM16:AQ1048576 AM4:AQ4 AM3:AN3 BA1:XFD2">
    <cfRule type="cellIs" dxfId="72" priority="22" operator="equal">
      <formula>0</formula>
    </cfRule>
  </conditionalFormatting>
  <conditionalFormatting sqref="AK1:AK2">
    <cfRule type="cellIs" dxfId="71" priority="21" operator="equal">
      <formula>0</formula>
    </cfRule>
  </conditionalFormatting>
  <conditionalFormatting sqref="AM1:AM2">
    <cfRule type="cellIs" dxfId="70" priority="20" operator="equal">
      <formula>0</formula>
    </cfRule>
  </conditionalFormatting>
  <conditionalFormatting sqref="AP1:AP2">
    <cfRule type="cellIs" dxfId="69" priority="19" operator="equal">
      <formula>0</formula>
    </cfRule>
  </conditionalFormatting>
  <conditionalFormatting sqref="AO1:AO2">
    <cfRule type="cellIs" dxfId="68" priority="18" operator="equal">
      <formula>0</formula>
    </cfRule>
  </conditionalFormatting>
  <conditionalFormatting sqref="AE14 AE16:AE1048576 AE1:AE4">
    <cfRule type="cellIs" dxfId="67" priority="17" operator="equal">
      <formula>0</formula>
    </cfRule>
  </conditionalFormatting>
  <conditionalFormatting sqref="AE1:AE2">
    <cfRule type="cellIs" dxfId="66" priority="16" operator="equal">
      <formula>0</formula>
    </cfRule>
  </conditionalFormatting>
  <conditionalFormatting sqref="AF14 AF16:AF1048576 AF1:AF4">
    <cfRule type="cellIs" dxfId="65" priority="15" operator="equal">
      <formula>0</formula>
    </cfRule>
  </conditionalFormatting>
  <conditionalFormatting sqref="AF1:AF2">
    <cfRule type="cellIs" dxfId="64" priority="14" operator="equal">
      <formula>0</formula>
    </cfRule>
  </conditionalFormatting>
  <conditionalFormatting sqref="AG14 AG16:AG1048576 AG1:AG4">
    <cfRule type="cellIs" dxfId="63" priority="13" operator="equal">
      <formula>0</formula>
    </cfRule>
  </conditionalFormatting>
  <conditionalFormatting sqref="AG1:AG2">
    <cfRule type="cellIs" dxfId="62" priority="12" operator="equal">
      <formula>0</formula>
    </cfRule>
  </conditionalFormatting>
  <conditionalFormatting sqref="AH14 AH16:AH1048576 AH1:AH3">
    <cfRule type="cellIs" dxfId="61" priority="11" operator="equal">
      <formula>0</formula>
    </cfRule>
  </conditionalFormatting>
  <conditionalFormatting sqref="AH1:AH2">
    <cfRule type="cellIs" dxfId="60" priority="10" operator="equal">
      <formula>0</formula>
    </cfRule>
  </conditionalFormatting>
  <conditionalFormatting sqref="AI14 AI16:AI1048576 AI1:AI3">
    <cfRule type="cellIs" dxfId="59" priority="9" operator="equal">
      <formula>0</formula>
    </cfRule>
  </conditionalFormatting>
  <conditionalFormatting sqref="AI1:AI2">
    <cfRule type="cellIs" dxfId="58" priority="8" operator="equal">
      <formula>0</formula>
    </cfRule>
  </conditionalFormatting>
  <conditionalFormatting sqref="AJ14 AJ16:AJ1048576 AJ1:AJ3">
    <cfRule type="cellIs" dxfId="57" priority="7" operator="equal">
      <formula>0</formula>
    </cfRule>
  </conditionalFormatting>
  <conditionalFormatting sqref="AJ1:AJ2">
    <cfRule type="cellIs" dxfId="56" priority="6" operator="equal">
      <formula>0</formula>
    </cfRule>
  </conditionalFormatting>
  <conditionalFormatting sqref="AL16:AL1048576 AL1:AL3">
    <cfRule type="cellIs" dxfId="55" priority="5" operator="equal">
      <formula>0</formula>
    </cfRule>
  </conditionalFormatting>
  <conditionalFormatting sqref="AL1:AL2">
    <cfRule type="cellIs" dxfId="54" priority="4" operator="equal">
      <formula>0</formula>
    </cfRule>
  </conditionalFormatting>
  <conditionalFormatting sqref="AU1:AZ2 AU16:AW1048576 AU4:AW4">
    <cfRule type="cellIs" dxfId="53" priority="3" operator="equal">
      <formula>0</formula>
    </cfRule>
  </conditionalFormatting>
  <conditionalFormatting sqref="AV1:AV2">
    <cfRule type="cellIs" dxfId="52" priority="2" operator="equal">
      <formula>0</formula>
    </cfRule>
  </conditionalFormatting>
  <conditionalFormatting sqref="AU1:AU2">
    <cfRule type="cellIs" dxfId="5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"/>
  <sheetViews>
    <sheetView showZeros="0" rightToLeft="1" tabSelected="1" zoomScaleNormal="100" workbookViewId="0">
      <pane xSplit="3" ySplit="4" topLeftCell="D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8"/>
  <cols>
    <col min="1" max="1" width="5.77734375" style="237" customWidth="1"/>
    <col min="2" max="2" width="5.77734375" style="147" customWidth="1"/>
    <col min="3" max="3" width="32.77734375" style="147" customWidth="1"/>
    <col min="4" max="6" width="10.109375" style="148" hidden="1" customWidth="1"/>
    <col min="7" max="11" width="9.6640625" style="148" hidden="1" customWidth="1"/>
    <col min="12" max="15" width="10.109375" style="148" hidden="1" customWidth="1"/>
    <col min="16" max="19" width="9.6640625" style="148" hidden="1" customWidth="1"/>
    <col min="20" max="20" width="12.77734375" style="148" customWidth="1"/>
    <col min="21" max="23" width="12.77734375" style="147" customWidth="1"/>
    <col min="24" max="26" width="9.6640625" style="147" hidden="1" customWidth="1"/>
    <col min="27" max="27" width="12.77734375" style="147" customWidth="1"/>
    <col min="28" max="28" width="29.5546875" style="147" hidden="1" customWidth="1"/>
    <col min="29" max="29" width="9.6640625" style="147" hidden="1" customWidth="1"/>
    <col min="30" max="38" width="13.6640625" style="235" hidden="1" customWidth="1"/>
    <col min="39" max="39" width="12.77734375" style="235" customWidth="1"/>
    <col min="40" max="42" width="12.77734375" style="147" customWidth="1"/>
    <col min="43" max="45" width="13.6640625" style="147" hidden="1" customWidth="1"/>
    <col min="46" max="46" width="12.77734375" style="147" customWidth="1"/>
    <col min="47" max="52" width="13.6640625" style="147" hidden="1" customWidth="1"/>
    <col min="53" max="16384" width="9.109375" style="147"/>
  </cols>
  <sheetData>
    <row r="1" spans="1:52" s="235" customForma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52"/>
      <c r="Y1" s="252"/>
      <c r="Z1" s="252"/>
    </row>
    <row r="2" spans="1:52">
      <c r="A2" s="234" t="s">
        <v>1452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3" spans="1:52" ht="36.75" customHeight="1">
      <c r="T3" s="622" t="s">
        <v>1426</v>
      </c>
      <c r="U3" s="622"/>
      <c r="V3" s="644" t="s">
        <v>83</v>
      </c>
      <c r="W3" s="645"/>
      <c r="X3" s="645"/>
      <c r="Y3" s="645"/>
      <c r="Z3" s="645"/>
      <c r="AA3" s="646"/>
      <c r="AD3" s="644" t="s">
        <v>207</v>
      </c>
      <c r="AE3" s="645"/>
      <c r="AF3" s="645"/>
      <c r="AG3" s="645"/>
      <c r="AH3" s="645"/>
      <c r="AI3" s="645"/>
      <c r="AJ3" s="645"/>
      <c r="AK3" s="645"/>
      <c r="AL3" s="645"/>
      <c r="AM3" s="645"/>
      <c r="AN3" s="646"/>
      <c r="AO3" s="650" t="s">
        <v>1164</v>
      </c>
      <c r="AP3" s="650"/>
      <c r="AQ3" s="650"/>
      <c r="AR3" s="650"/>
      <c r="AS3" s="650"/>
      <c r="AT3" s="650"/>
      <c r="AU3" s="622" t="s">
        <v>953</v>
      </c>
      <c r="AV3" s="622"/>
      <c r="AW3" s="622"/>
      <c r="AX3" s="622"/>
      <c r="AY3" s="622"/>
      <c r="AZ3" s="622"/>
    </row>
    <row r="4" spans="1:52" s="239" customFormat="1" ht="61.8" customHeight="1">
      <c r="A4" s="150" t="s">
        <v>0</v>
      </c>
      <c r="B4" s="150" t="s">
        <v>1</v>
      </c>
      <c r="C4" s="150" t="s">
        <v>2</v>
      </c>
      <c r="D4" s="150" t="s">
        <v>3</v>
      </c>
      <c r="E4" s="150" t="s">
        <v>4</v>
      </c>
      <c r="F4" s="150" t="s">
        <v>5</v>
      </c>
      <c r="G4" s="150" t="s">
        <v>6</v>
      </c>
      <c r="H4" s="150" t="s">
        <v>7</v>
      </c>
      <c r="I4" s="150" t="s">
        <v>9</v>
      </c>
      <c r="J4" s="150" t="s">
        <v>132</v>
      </c>
      <c r="K4" s="150" t="s">
        <v>10</v>
      </c>
      <c r="L4" s="150" t="s">
        <v>11</v>
      </c>
      <c r="M4" s="9" t="s">
        <v>658</v>
      </c>
      <c r="N4" s="9" t="s">
        <v>659</v>
      </c>
      <c r="O4" s="9" t="s">
        <v>660</v>
      </c>
      <c r="P4" s="9" t="s">
        <v>12</v>
      </c>
      <c r="Q4" s="9" t="s">
        <v>661</v>
      </c>
      <c r="R4" s="9" t="s">
        <v>662</v>
      </c>
      <c r="S4" s="9" t="s">
        <v>663</v>
      </c>
      <c r="T4" s="9" t="s">
        <v>664</v>
      </c>
      <c r="U4" s="9" t="s">
        <v>665</v>
      </c>
      <c r="V4" s="150" t="s">
        <v>13</v>
      </c>
      <c r="W4" s="150" t="s">
        <v>14</v>
      </c>
      <c r="X4" s="150" t="s">
        <v>15</v>
      </c>
      <c r="Y4" s="150" t="s">
        <v>225</v>
      </c>
      <c r="Z4" s="150" t="s">
        <v>575</v>
      </c>
      <c r="AA4" s="150" t="s">
        <v>79</v>
      </c>
      <c r="AB4" s="15" t="s">
        <v>257</v>
      </c>
      <c r="AC4" s="150" t="s">
        <v>16</v>
      </c>
      <c r="AD4" s="481" t="s">
        <v>954</v>
      </c>
      <c r="AE4" s="481" t="s">
        <v>955</v>
      </c>
      <c r="AF4" s="481" t="s">
        <v>956</v>
      </c>
      <c r="AG4" s="481" t="s">
        <v>957</v>
      </c>
      <c r="AH4" s="481" t="s">
        <v>958</v>
      </c>
      <c r="AI4" s="481" t="s">
        <v>959</v>
      </c>
      <c r="AJ4" s="481" t="s">
        <v>960</v>
      </c>
      <c r="AK4" s="481" t="s">
        <v>961</v>
      </c>
      <c r="AL4" s="481" t="s">
        <v>962</v>
      </c>
      <c r="AM4" s="19" t="s">
        <v>1046</v>
      </c>
      <c r="AN4" s="19" t="s">
        <v>635</v>
      </c>
      <c r="AO4" s="167" t="s">
        <v>13</v>
      </c>
      <c r="AP4" s="167" t="s">
        <v>14</v>
      </c>
      <c r="AQ4" s="167" t="s">
        <v>15</v>
      </c>
      <c r="AR4" s="167" t="s">
        <v>225</v>
      </c>
      <c r="AS4" s="167" t="s">
        <v>575</v>
      </c>
      <c r="AT4" s="15" t="s">
        <v>79</v>
      </c>
      <c r="AU4" s="167" t="s">
        <v>13</v>
      </c>
      <c r="AV4" s="167" t="s">
        <v>14</v>
      </c>
      <c r="AW4" s="167" t="s">
        <v>15</v>
      </c>
      <c r="AX4" s="167" t="s">
        <v>225</v>
      </c>
      <c r="AY4" s="167" t="s">
        <v>575</v>
      </c>
      <c r="AZ4" s="15" t="s">
        <v>79</v>
      </c>
    </row>
    <row r="5" spans="1:52" s="158" customFormat="1" ht="30" customHeight="1">
      <c r="A5" s="153">
        <v>32</v>
      </c>
      <c r="B5" s="153">
        <v>1519</v>
      </c>
      <c r="C5" s="153" t="s">
        <v>77</v>
      </c>
      <c r="D5" s="154">
        <v>8493000</v>
      </c>
      <c r="E5" s="154">
        <v>8493000</v>
      </c>
      <c r="F5" s="154">
        <f>D5-E5</f>
        <v>0</v>
      </c>
      <c r="G5" s="154">
        <v>2680000</v>
      </c>
      <c r="H5" s="154">
        <v>2601552</v>
      </c>
      <c r="I5" s="154">
        <v>0</v>
      </c>
      <c r="J5" s="154"/>
      <c r="K5" s="154">
        <f>SUM(I5:J5)</f>
        <v>0</v>
      </c>
      <c r="L5" s="154">
        <f>H5+K5</f>
        <v>2601552</v>
      </c>
      <c r="M5" s="154">
        <f>P5+S5</f>
        <v>78448</v>
      </c>
      <c r="N5" s="154">
        <v>1000000</v>
      </c>
      <c r="O5" s="154">
        <f>D5-L5-M5-N5</f>
        <v>4813000</v>
      </c>
      <c r="P5" s="154">
        <f>G5-L5</f>
        <v>78448</v>
      </c>
      <c r="Q5" s="154"/>
      <c r="R5" s="154"/>
      <c r="S5" s="154">
        <f>SUM(Q5:R5)</f>
        <v>0</v>
      </c>
      <c r="T5" s="154">
        <v>0</v>
      </c>
      <c r="U5" s="512">
        <v>1000000</v>
      </c>
      <c r="V5" s="154">
        <v>771067.75</v>
      </c>
      <c r="W5" s="154"/>
      <c r="X5" s="154"/>
      <c r="Y5" s="154"/>
      <c r="Z5" s="154"/>
      <c r="AA5" s="154">
        <v>228932.25</v>
      </c>
      <c r="AB5" s="153" t="s">
        <v>766</v>
      </c>
      <c r="AC5" s="153">
        <v>732000</v>
      </c>
      <c r="AD5" s="154">
        <v>500000</v>
      </c>
      <c r="AE5" s="296"/>
      <c r="AF5" s="296"/>
      <c r="AG5" s="296"/>
      <c r="AH5" s="154">
        <v>271068</v>
      </c>
      <c r="AI5" s="154"/>
      <c r="AJ5" s="154"/>
      <c r="AK5" s="154"/>
      <c r="AL5" s="154"/>
      <c r="AM5" s="154">
        <v>771068</v>
      </c>
      <c r="AN5" s="154">
        <v>228932</v>
      </c>
      <c r="AO5" s="154">
        <v>771068</v>
      </c>
      <c r="AP5" s="159"/>
      <c r="AQ5" s="159"/>
      <c r="AR5" s="159"/>
      <c r="AS5" s="159"/>
      <c r="AT5" s="159"/>
      <c r="AU5" s="154">
        <f>AL5-AZ5</f>
        <v>0</v>
      </c>
      <c r="AV5" s="159"/>
      <c r="AW5" s="159"/>
      <c r="AX5" s="159"/>
      <c r="AY5" s="159"/>
      <c r="AZ5" s="159"/>
    </row>
    <row r="6" spans="1:52" s="157" customFormat="1" ht="30" customHeight="1">
      <c r="A6" s="153">
        <f>A5+1</f>
        <v>33</v>
      </c>
      <c r="B6" s="153">
        <v>1867</v>
      </c>
      <c r="C6" s="153" t="s">
        <v>117</v>
      </c>
      <c r="D6" s="154">
        <v>1520000</v>
      </c>
      <c r="E6" s="154">
        <v>1520000</v>
      </c>
      <c r="F6" s="154">
        <f>D6-E6</f>
        <v>0</v>
      </c>
      <c r="G6" s="154">
        <v>570000</v>
      </c>
      <c r="H6" s="154">
        <v>369131</v>
      </c>
      <c r="I6" s="154">
        <v>0</v>
      </c>
      <c r="J6" s="154">
        <v>0</v>
      </c>
      <c r="K6" s="154">
        <f>SUM(I6:J6)</f>
        <v>0</v>
      </c>
      <c r="L6" s="154">
        <f>H6+K6</f>
        <v>369131</v>
      </c>
      <c r="M6" s="154">
        <f>P6+S6</f>
        <v>200869</v>
      </c>
      <c r="N6" s="154"/>
      <c r="O6" s="154">
        <f>D6-L6-M6-N6</f>
        <v>950000</v>
      </c>
      <c r="P6" s="154">
        <f>G6-L6</f>
        <v>200869</v>
      </c>
      <c r="Q6" s="154"/>
      <c r="R6" s="154"/>
      <c r="S6" s="154">
        <f>SUM(Q6:R6)</f>
        <v>0</v>
      </c>
      <c r="T6" s="154">
        <v>0</v>
      </c>
      <c r="U6" s="512">
        <v>0</v>
      </c>
      <c r="V6" s="154">
        <v>0</v>
      </c>
      <c r="W6" s="154"/>
      <c r="X6" s="154"/>
      <c r="Y6" s="154"/>
      <c r="Z6" s="154"/>
      <c r="AA6" s="154">
        <v>0</v>
      </c>
      <c r="AB6" s="153" t="s">
        <v>364</v>
      </c>
      <c r="AC6" s="153">
        <v>732000</v>
      </c>
      <c r="AD6" s="296"/>
      <c r="AE6" s="154"/>
      <c r="AF6" s="154"/>
      <c r="AG6" s="154"/>
      <c r="AH6" s="154"/>
      <c r="AI6" s="154"/>
      <c r="AJ6" s="154"/>
      <c r="AK6" s="154"/>
      <c r="AL6" s="154"/>
      <c r="AM6" s="154">
        <v>0</v>
      </c>
      <c r="AN6" s="160">
        <v>0</v>
      </c>
      <c r="AO6" s="154">
        <v>0</v>
      </c>
      <c r="AP6" s="153"/>
      <c r="AQ6" s="153"/>
      <c r="AR6" s="153"/>
      <c r="AS6" s="153"/>
      <c r="AT6" s="153"/>
      <c r="AU6" s="154">
        <f>AL6-AZ6</f>
        <v>0</v>
      </c>
      <c r="AV6" s="153"/>
      <c r="AW6" s="153"/>
      <c r="AX6" s="153"/>
      <c r="AY6" s="153"/>
      <c r="AZ6" s="153"/>
    </row>
    <row r="7" spans="1:52" s="157" customFormat="1" ht="30" customHeight="1">
      <c r="A7" s="153">
        <f>A6+1</f>
        <v>34</v>
      </c>
      <c r="B7" s="153">
        <v>1979</v>
      </c>
      <c r="C7" s="153" t="s">
        <v>1233</v>
      </c>
      <c r="D7" s="166">
        <v>195000</v>
      </c>
      <c r="E7" s="166">
        <v>195000</v>
      </c>
      <c r="F7" s="154">
        <f>D7-E7</f>
        <v>0</v>
      </c>
      <c r="G7" s="154">
        <v>195000</v>
      </c>
      <c r="H7" s="154">
        <v>70235</v>
      </c>
      <c r="I7" s="154">
        <v>0</v>
      </c>
      <c r="J7" s="154">
        <v>0</v>
      </c>
      <c r="K7" s="154">
        <f>SUM(I7:J7)</f>
        <v>0</v>
      </c>
      <c r="L7" s="154">
        <f>H7+K7</f>
        <v>70235</v>
      </c>
      <c r="M7" s="154">
        <f>P7+S7</f>
        <v>124765</v>
      </c>
      <c r="N7" s="154"/>
      <c r="O7" s="154">
        <f>D7-L7-M7-N7</f>
        <v>0</v>
      </c>
      <c r="P7" s="154">
        <f>G7-L7</f>
        <v>124765</v>
      </c>
      <c r="Q7" s="154"/>
      <c r="R7" s="154"/>
      <c r="S7" s="154">
        <f>SUM(Q7:R7)</f>
        <v>0</v>
      </c>
      <c r="T7" s="154">
        <v>0</v>
      </c>
      <c r="U7" s="512">
        <v>0</v>
      </c>
      <c r="V7" s="154">
        <v>0</v>
      </c>
      <c r="W7" s="154"/>
      <c r="X7" s="154"/>
      <c r="Y7" s="154"/>
      <c r="Z7" s="154"/>
      <c r="AA7" s="154">
        <v>0</v>
      </c>
      <c r="AB7" s="153" t="s">
        <v>364</v>
      </c>
      <c r="AC7" s="153">
        <v>732000</v>
      </c>
      <c r="AD7" s="296"/>
      <c r="AE7" s="154"/>
      <c r="AF7" s="154"/>
      <c r="AG7" s="154"/>
      <c r="AH7" s="154"/>
      <c r="AI7" s="154"/>
      <c r="AJ7" s="154"/>
      <c r="AK7" s="154"/>
      <c r="AL7" s="154"/>
      <c r="AM7" s="154">
        <v>0</v>
      </c>
      <c r="AN7" s="160">
        <v>0</v>
      </c>
      <c r="AO7" s="154">
        <v>0</v>
      </c>
      <c r="AP7" s="154"/>
      <c r="AQ7" s="153"/>
      <c r="AR7" s="153"/>
      <c r="AS7" s="153"/>
      <c r="AT7" s="153"/>
      <c r="AU7" s="154">
        <f>AL7-AZ7</f>
        <v>0</v>
      </c>
      <c r="AV7" s="154"/>
      <c r="AW7" s="153"/>
      <c r="AX7" s="153"/>
      <c r="AY7" s="153"/>
      <c r="AZ7" s="153"/>
    </row>
    <row r="8" spans="1:52" s="157" customFormat="1" ht="49.95" customHeight="1">
      <c r="A8" s="153">
        <f>A7+1</f>
        <v>35</v>
      </c>
      <c r="B8" s="153">
        <v>1980</v>
      </c>
      <c r="C8" s="153" t="s">
        <v>1037</v>
      </c>
      <c r="D8" s="166">
        <v>1150000</v>
      </c>
      <c r="E8" s="166">
        <v>1150000</v>
      </c>
      <c r="F8" s="154">
        <f>D8-E8</f>
        <v>0</v>
      </c>
      <c r="G8" s="154">
        <v>1150000</v>
      </c>
      <c r="H8" s="154">
        <v>642915</v>
      </c>
      <c r="I8" s="154">
        <v>0</v>
      </c>
      <c r="J8" s="154">
        <v>0</v>
      </c>
      <c r="K8" s="154">
        <f>SUM(I8:J8)</f>
        <v>0</v>
      </c>
      <c r="L8" s="154">
        <f>H8+K8</f>
        <v>642915</v>
      </c>
      <c r="M8" s="154">
        <f>P8+S8-500000</f>
        <v>7085</v>
      </c>
      <c r="N8" s="154"/>
      <c r="O8" s="154">
        <f>D8-L8-M8-N8</f>
        <v>500000</v>
      </c>
      <c r="P8" s="154">
        <f>G8-L8</f>
        <v>507085</v>
      </c>
      <c r="Q8" s="154"/>
      <c r="R8" s="154"/>
      <c r="S8" s="154">
        <f>SUM(Q8:R8)</f>
        <v>0</v>
      </c>
      <c r="T8" s="154">
        <v>500000</v>
      </c>
      <c r="U8" s="512">
        <v>-500000</v>
      </c>
      <c r="V8" s="154">
        <v>-500000</v>
      </c>
      <c r="W8" s="154"/>
      <c r="X8" s="154"/>
      <c r="Y8" s="154"/>
      <c r="Z8" s="154"/>
      <c r="AA8" s="154">
        <v>0</v>
      </c>
      <c r="AB8" s="153" t="s">
        <v>1038</v>
      </c>
      <c r="AC8" s="153">
        <v>732000</v>
      </c>
      <c r="AD8" s="296"/>
      <c r="AE8" s="154"/>
      <c r="AF8" s="154"/>
      <c r="AG8" s="154">
        <v>-500000</v>
      </c>
      <c r="AH8" s="154"/>
      <c r="AI8" s="154"/>
      <c r="AJ8" s="154"/>
      <c r="AK8" s="154"/>
      <c r="AL8" s="154"/>
      <c r="AM8" s="154">
        <v>-500000</v>
      </c>
      <c r="AN8" s="160">
        <v>0</v>
      </c>
      <c r="AO8" s="154">
        <v>-500000</v>
      </c>
      <c r="AP8" s="154"/>
      <c r="AQ8" s="153"/>
      <c r="AR8" s="153"/>
      <c r="AS8" s="153"/>
      <c r="AT8" s="153"/>
      <c r="AU8" s="154">
        <f>AL8-AZ8</f>
        <v>0</v>
      </c>
      <c r="AV8" s="154"/>
      <c r="AW8" s="153"/>
      <c r="AX8" s="153"/>
      <c r="AY8" s="153"/>
      <c r="AZ8" s="153"/>
    </row>
    <row r="9" spans="1:52" s="157" customFormat="1" ht="30" customHeight="1">
      <c r="A9" s="153">
        <f>A8+1</f>
        <v>36</v>
      </c>
      <c r="B9" s="153">
        <v>1981</v>
      </c>
      <c r="C9" s="153" t="s">
        <v>1039</v>
      </c>
      <c r="D9" s="166">
        <v>1100000</v>
      </c>
      <c r="E9" s="166">
        <v>1100000</v>
      </c>
      <c r="F9" s="154">
        <f>D9-E9</f>
        <v>0</v>
      </c>
      <c r="G9" s="154">
        <v>1100000</v>
      </c>
      <c r="H9" s="154">
        <v>1007076</v>
      </c>
      <c r="I9" s="154">
        <v>0</v>
      </c>
      <c r="J9" s="154">
        <v>0</v>
      </c>
      <c r="K9" s="154">
        <f>SUM(I9:J9)</f>
        <v>0</v>
      </c>
      <c r="L9" s="154">
        <f>H9+K9</f>
        <v>1007076</v>
      </c>
      <c r="M9" s="154">
        <f>P9+S9-90000</f>
        <v>2924</v>
      </c>
      <c r="N9" s="154"/>
      <c r="O9" s="154">
        <f>D9-L9-M9-N9</f>
        <v>90000</v>
      </c>
      <c r="P9" s="154">
        <f>G9-L9</f>
        <v>92924</v>
      </c>
      <c r="Q9" s="154"/>
      <c r="R9" s="154"/>
      <c r="S9" s="154">
        <f>SUM(Q9:R9)</f>
        <v>0</v>
      </c>
      <c r="T9" s="154">
        <v>90000</v>
      </c>
      <c r="U9" s="512">
        <v>-90000</v>
      </c>
      <c r="V9" s="154">
        <v>-90000</v>
      </c>
      <c r="W9" s="154"/>
      <c r="X9" s="154"/>
      <c r="Y9" s="154"/>
      <c r="Z9" s="154"/>
      <c r="AA9" s="154">
        <v>0</v>
      </c>
      <c r="AB9" s="153" t="s">
        <v>1040</v>
      </c>
      <c r="AC9" s="153">
        <v>732000</v>
      </c>
      <c r="AD9" s="296"/>
      <c r="AE9" s="154"/>
      <c r="AF9" s="154"/>
      <c r="AG9" s="154">
        <v>-90000</v>
      </c>
      <c r="AH9" s="154"/>
      <c r="AI9" s="154"/>
      <c r="AJ9" s="154"/>
      <c r="AK9" s="154"/>
      <c r="AL9" s="154"/>
      <c r="AM9" s="154">
        <v>-90000</v>
      </c>
      <c r="AN9" s="160">
        <v>0</v>
      </c>
      <c r="AO9" s="154">
        <v>-90000</v>
      </c>
      <c r="AP9" s="154"/>
      <c r="AQ9" s="153"/>
      <c r="AR9" s="153"/>
      <c r="AS9" s="153"/>
      <c r="AT9" s="153"/>
      <c r="AU9" s="154">
        <f>AL9-AZ9</f>
        <v>0</v>
      </c>
      <c r="AV9" s="154"/>
      <c r="AW9" s="153"/>
      <c r="AX9" s="153"/>
      <c r="AY9" s="153"/>
      <c r="AZ9" s="153"/>
    </row>
    <row r="10" spans="1:52" s="331" customFormat="1" ht="30" customHeight="1">
      <c r="A10" s="270">
        <f>A9</f>
        <v>36</v>
      </c>
      <c r="B10" s="270"/>
      <c r="C10" s="29" t="s">
        <v>223</v>
      </c>
      <c r="D10" s="330">
        <f>SUM(D5:D9)</f>
        <v>12458000</v>
      </c>
      <c r="E10" s="330">
        <f t="shared" ref="E10:AZ10" si="0">SUM(E5:E9)</f>
        <v>12458000</v>
      </c>
      <c r="F10" s="330">
        <f t="shared" si="0"/>
        <v>0</v>
      </c>
      <c r="G10" s="330">
        <f t="shared" si="0"/>
        <v>5695000</v>
      </c>
      <c r="H10" s="330">
        <f t="shared" si="0"/>
        <v>4690909</v>
      </c>
      <c r="I10" s="330">
        <f t="shared" si="0"/>
        <v>0</v>
      </c>
      <c r="J10" s="330">
        <f t="shared" si="0"/>
        <v>0</v>
      </c>
      <c r="K10" s="330">
        <f t="shared" si="0"/>
        <v>0</v>
      </c>
      <c r="L10" s="330">
        <f t="shared" si="0"/>
        <v>4690909</v>
      </c>
      <c r="M10" s="330">
        <f t="shared" si="0"/>
        <v>414091</v>
      </c>
      <c r="N10" s="330">
        <f t="shared" si="0"/>
        <v>1000000</v>
      </c>
      <c r="O10" s="330">
        <f t="shared" si="0"/>
        <v>6353000</v>
      </c>
      <c r="P10" s="330">
        <f t="shared" si="0"/>
        <v>1004091</v>
      </c>
      <c r="Q10" s="330">
        <f t="shared" si="0"/>
        <v>0</v>
      </c>
      <c r="R10" s="330">
        <f t="shared" si="0"/>
        <v>0</v>
      </c>
      <c r="S10" s="330">
        <f t="shared" si="0"/>
        <v>0</v>
      </c>
      <c r="T10" s="330">
        <v>590000</v>
      </c>
      <c r="U10" s="330">
        <v>410000</v>
      </c>
      <c r="V10" s="330">
        <v>181067.75</v>
      </c>
      <c r="W10" s="330">
        <v>0</v>
      </c>
      <c r="X10" s="330">
        <v>0</v>
      </c>
      <c r="Y10" s="330">
        <v>0</v>
      </c>
      <c r="Z10" s="330">
        <v>0</v>
      </c>
      <c r="AA10" s="330">
        <v>228932.25</v>
      </c>
      <c r="AB10" s="330">
        <v>0</v>
      </c>
      <c r="AC10" s="330">
        <v>3660000</v>
      </c>
      <c r="AD10" s="330">
        <v>500000</v>
      </c>
      <c r="AE10" s="330">
        <v>0</v>
      </c>
      <c r="AF10" s="330">
        <v>0</v>
      </c>
      <c r="AG10" s="330">
        <v>-590000</v>
      </c>
      <c r="AH10" s="330">
        <v>271068</v>
      </c>
      <c r="AI10" s="330">
        <v>0</v>
      </c>
      <c r="AJ10" s="330">
        <v>0</v>
      </c>
      <c r="AK10" s="330">
        <v>0</v>
      </c>
      <c r="AL10" s="330">
        <v>0</v>
      </c>
      <c r="AM10" s="330">
        <v>181068</v>
      </c>
      <c r="AN10" s="330">
        <v>228932</v>
      </c>
      <c r="AO10" s="330">
        <v>181068</v>
      </c>
      <c r="AP10" s="330">
        <v>0</v>
      </c>
      <c r="AQ10" s="330">
        <v>0</v>
      </c>
      <c r="AR10" s="330">
        <v>0</v>
      </c>
      <c r="AS10" s="330">
        <v>0</v>
      </c>
      <c r="AT10" s="330">
        <v>0</v>
      </c>
      <c r="AU10" s="330">
        <f t="shared" si="0"/>
        <v>0</v>
      </c>
      <c r="AV10" s="330">
        <f t="shared" si="0"/>
        <v>0</v>
      </c>
      <c r="AW10" s="330">
        <f t="shared" si="0"/>
        <v>0</v>
      </c>
      <c r="AX10" s="330">
        <f t="shared" si="0"/>
        <v>0</v>
      </c>
      <c r="AY10" s="330">
        <f t="shared" si="0"/>
        <v>0</v>
      </c>
      <c r="AZ10" s="330">
        <f t="shared" si="0"/>
        <v>0</v>
      </c>
    </row>
    <row r="11" spans="1:52" hidden="1">
      <c r="M11" s="148">
        <f>P10-T10</f>
        <v>414091</v>
      </c>
      <c r="P11" s="148">
        <f>G10-L10</f>
        <v>1004091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T3:U3"/>
    <mergeCell ref="V3:AA3"/>
    <mergeCell ref="AD3:AN3"/>
    <mergeCell ref="AO3:AT3"/>
    <mergeCell ref="AU3:AZ3"/>
  </mergeCells>
  <conditionalFormatting sqref="U5:U9">
    <cfRule type="cellIs" dxfId="5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20"/>
  <sheetViews>
    <sheetView showZeros="0" rightToLeft="1" tabSelected="1" workbookViewId="0">
      <pane xSplit="6" ySplit="4" topLeftCell="G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.5546875" defaultRowHeight="13.2"/>
  <cols>
    <col min="1" max="2" width="5.77734375" style="184" customWidth="1"/>
    <col min="3" max="3" width="32.77734375" style="184" customWidth="1"/>
    <col min="4" max="6" width="9.44140625" style="184" hidden="1" customWidth="1"/>
    <col min="7" max="7" width="14.44140625" style="184" hidden="1" customWidth="1"/>
    <col min="8" max="10" width="9.44140625" style="184" hidden="1" customWidth="1"/>
    <col min="11" max="11" width="10.33203125" style="184" hidden="1" customWidth="1"/>
    <col min="12" max="12" width="9.109375" style="184" hidden="1" customWidth="1"/>
    <col min="13" max="13" width="8.6640625" style="184" hidden="1" customWidth="1"/>
    <col min="14" max="15" width="9.109375" style="184" hidden="1" customWidth="1"/>
    <col min="16" max="19" width="9.44140625" style="184" hidden="1" customWidth="1"/>
    <col min="20" max="23" width="12.77734375" style="184" customWidth="1"/>
    <col min="24" max="26" width="8.44140625" style="184" hidden="1" customWidth="1"/>
    <col min="27" max="27" width="12.77734375" style="184" customWidth="1"/>
    <col min="28" max="28" width="37" style="184" hidden="1" customWidth="1"/>
    <col min="29" max="29" width="8.5546875" style="184" hidden="1" customWidth="1"/>
    <col min="30" max="38" width="13.6640625" style="184" hidden="1" customWidth="1"/>
    <col min="39" max="42" width="12.77734375" style="184" customWidth="1"/>
    <col min="43" max="45" width="13.6640625" style="184" hidden="1" customWidth="1"/>
    <col min="46" max="46" width="12.77734375" style="184" customWidth="1"/>
    <col min="47" max="47" width="10.6640625" style="184" hidden="1" customWidth="1"/>
    <col min="48" max="51" width="13.6640625" style="184" hidden="1" customWidth="1"/>
    <col min="52" max="52" width="11.109375" style="184" hidden="1" customWidth="1"/>
    <col min="53" max="16384" width="8.5546875" style="184"/>
  </cols>
  <sheetData>
    <row r="1" spans="1:52" ht="18">
      <c r="A1" s="513"/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O1" s="513"/>
      <c r="P1" s="513"/>
      <c r="Q1" s="513"/>
      <c r="R1" s="513"/>
      <c r="S1" s="513"/>
      <c r="T1" s="513"/>
      <c r="U1" s="513"/>
      <c r="V1" s="513"/>
      <c r="W1" s="513"/>
      <c r="X1" s="514"/>
      <c r="Y1" s="514"/>
      <c r="Z1" s="514"/>
      <c r="AA1" s="515"/>
      <c r="AB1" s="516"/>
      <c r="AC1" s="515"/>
    </row>
    <row r="2" spans="1:52" ht="18">
      <c r="A2" s="513" t="s">
        <v>1453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7"/>
      <c r="Y2" s="517"/>
      <c r="Z2" s="517"/>
      <c r="AA2" s="517"/>
      <c r="AB2" s="518"/>
      <c r="AC2" s="517"/>
    </row>
    <row r="3" spans="1:52" ht="30.75" customHeight="1">
      <c r="A3" s="519"/>
      <c r="B3" s="517"/>
      <c r="C3" s="517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622" t="s">
        <v>1426</v>
      </c>
      <c r="U3" s="622"/>
      <c r="V3" s="644" t="s">
        <v>83</v>
      </c>
      <c r="W3" s="645"/>
      <c r="X3" s="645"/>
      <c r="Y3" s="645"/>
      <c r="Z3" s="645"/>
      <c r="AA3" s="646"/>
      <c r="AB3" s="519"/>
      <c r="AC3" s="517"/>
      <c r="AD3" s="644" t="s">
        <v>207</v>
      </c>
      <c r="AE3" s="645"/>
      <c r="AF3" s="645"/>
      <c r="AG3" s="645"/>
      <c r="AH3" s="645"/>
      <c r="AI3" s="645"/>
      <c r="AJ3" s="645"/>
      <c r="AK3" s="645"/>
      <c r="AL3" s="645"/>
      <c r="AM3" s="645"/>
      <c r="AN3" s="646"/>
      <c r="AO3" s="647" t="s">
        <v>1164</v>
      </c>
      <c r="AP3" s="648"/>
      <c r="AQ3" s="648"/>
      <c r="AR3" s="648"/>
      <c r="AS3" s="648"/>
      <c r="AT3" s="649"/>
      <c r="AU3" s="651" t="s">
        <v>953</v>
      </c>
      <c r="AV3" s="651"/>
      <c r="AW3" s="651"/>
      <c r="AX3" s="651"/>
      <c r="AY3" s="651"/>
      <c r="AZ3" s="651"/>
    </row>
    <row r="4" spans="1:52" ht="58.95" customHeight="1">
      <c r="A4" s="150" t="s">
        <v>0</v>
      </c>
      <c r="B4" s="521" t="s">
        <v>461</v>
      </c>
      <c r="C4" s="521" t="s">
        <v>2</v>
      </c>
      <c r="D4" s="521" t="s">
        <v>3</v>
      </c>
      <c r="E4" s="521" t="s">
        <v>4</v>
      </c>
      <c r="F4" s="521" t="s">
        <v>5</v>
      </c>
      <c r="G4" s="521" t="s">
        <v>6</v>
      </c>
      <c r="H4" s="521" t="s">
        <v>7</v>
      </c>
      <c r="I4" s="521" t="s">
        <v>9</v>
      </c>
      <c r="J4" s="521" t="s">
        <v>132</v>
      </c>
      <c r="K4" s="521" t="s">
        <v>10</v>
      </c>
      <c r="L4" s="521" t="s">
        <v>11</v>
      </c>
      <c r="M4" s="9" t="s">
        <v>658</v>
      </c>
      <c r="N4" s="9" t="s">
        <v>659</v>
      </c>
      <c r="O4" s="9" t="s">
        <v>660</v>
      </c>
      <c r="P4" s="9" t="s">
        <v>12</v>
      </c>
      <c r="Q4" s="9" t="s">
        <v>661</v>
      </c>
      <c r="R4" s="9" t="s">
        <v>662</v>
      </c>
      <c r="S4" s="9" t="s">
        <v>663</v>
      </c>
      <c r="T4" s="9" t="s">
        <v>664</v>
      </c>
      <c r="U4" s="9" t="s">
        <v>665</v>
      </c>
      <c r="V4" s="521" t="s">
        <v>13</v>
      </c>
      <c r="W4" s="521" t="s">
        <v>14</v>
      </c>
      <c r="X4" s="521" t="s">
        <v>15</v>
      </c>
      <c r="Y4" s="521" t="s">
        <v>225</v>
      </c>
      <c r="Z4" s="521" t="s">
        <v>575</v>
      </c>
      <c r="AA4" s="521" t="s">
        <v>79</v>
      </c>
      <c r="AB4" s="522" t="s">
        <v>257</v>
      </c>
      <c r="AC4" s="521" t="s">
        <v>16</v>
      </c>
      <c r="AD4" s="481" t="s">
        <v>954</v>
      </c>
      <c r="AE4" s="481" t="s">
        <v>955</v>
      </c>
      <c r="AF4" s="481" t="s">
        <v>956</v>
      </c>
      <c r="AG4" s="481" t="s">
        <v>957</v>
      </c>
      <c r="AH4" s="481" t="s">
        <v>958</v>
      </c>
      <c r="AI4" s="481" t="s">
        <v>959</v>
      </c>
      <c r="AJ4" s="481" t="s">
        <v>960</v>
      </c>
      <c r="AK4" s="481" t="s">
        <v>961</v>
      </c>
      <c r="AL4" s="481" t="s">
        <v>962</v>
      </c>
      <c r="AM4" s="19" t="s">
        <v>1046</v>
      </c>
      <c r="AN4" s="19" t="s">
        <v>635</v>
      </c>
      <c r="AO4" s="167" t="s">
        <v>13</v>
      </c>
      <c r="AP4" s="167" t="s">
        <v>14</v>
      </c>
      <c r="AQ4" s="167" t="s">
        <v>15</v>
      </c>
      <c r="AR4" s="167" t="s">
        <v>225</v>
      </c>
      <c r="AS4" s="167" t="s">
        <v>575</v>
      </c>
      <c r="AT4" s="15" t="s">
        <v>79</v>
      </c>
      <c r="AU4" s="167" t="s">
        <v>13</v>
      </c>
      <c r="AV4" s="167" t="s">
        <v>14</v>
      </c>
      <c r="AW4" s="167" t="s">
        <v>15</v>
      </c>
      <c r="AX4" s="167" t="s">
        <v>225</v>
      </c>
      <c r="AY4" s="167" t="s">
        <v>575</v>
      </c>
      <c r="AZ4" s="15" t="s">
        <v>79</v>
      </c>
    </row>
    <row r="5" spans="1:52" ht="31.95" customHeight="1">
      <c r="A5" s="523">
        <v>1</v>
      </c>
      <c r="B5" s="523">
        <v>1002</v>
      </c>
      <c r="C5" s="523" t="s">
        <v>119</v>
      </c>
      <c r="D5" s="524">
        <v>3290000</v>
      </c>
      <c r="E5" s="524">
        <v>3290000</v>
      </c>
      <c r="F5" s="524">
        <f t="shared" ref="F5:F13" si="0">D5-E5</f>
        <v>0</v>
      </c>
      <c r="G5" s="524">
        <v>2210000</v>
      </c>
      <c r="H5" s="524">
        <v>2150485</v>
      </c>
      <c r="I5" s="524">
        <v>0</v>
      </c>
      <c r="J5" s="524">
        <v>59482</v>
      </c>
      <c r="K5" s="524">
        <f t="shared" ref="K5:K13" si="1">I5+J5</f>
        <v>59482</v>
      </c>
      <c r="L5" s="524">
        <f t="shared" ref="L5:L13" si="2">H5+K5</f>
        <v>2209967</v>
      </c>
      <c r="M5" s="512">
        <f t="shared" ref="M5:M13" si="3">P5+S5</f>
        <v>33</v>
      </c>
      <c r="N5" s="512">
        <v>100000</v>
      </c>
      <c r="O5" s="512">
        <f t="shared" ref="O5:O13" si="4">D5-L5-M5-N5</f>
        <v>980000</v>
      </c>
      <c r="P5" s="512">
        <f t="shared" ref="P5:P13" si="5">G5-L5</f>
        <v>33</v>
      </c>
      <c r="Q5" s="512"/>
      <c r="R5" s="512"/>
      <c r="S5" s="512">
        <f t="shared" ref="S5:S13" si="6">SUM(Q5:R5)</f>
        <v>0</v>
      </c>
      <c r="T5" s="512">
        <v>0</v>
      </c>
      <c r="U5" s="512">
        <v>100000</v>
      </c>
      <c r="V5" s="512"/>
      <c r="W5" s="512">
        <v>100000</v>
      </c>
      <c r="X5" s="524"/>
      <c r="Y5" s="524"/>
      <c r="Z5" s="524"/>
      <c r="AA5" s="523"/>
      <c r="AB5" s="523" t="s">
        <v>323</v>
      </c>
      <c r="AC5" s="523">
        <v>760000</v>
      </c>
      <c r="AD5" s="385"/>
      <c r="AE5" s="385"/>
      <c r="AF5" s="512">
        <v>100000</v>
      </c>
      <c r="AG5" s="512"/>
      <c r="AH5" s="512"/>
      <c r="AI5" s="512"/>
      <c r="AJ5" s="512"/>
      <c r="AK5" s="512"/>
      <c r="AL5" s="512"/>
      <c r="AM5" s="512">
        <v>100000</v>
      </c>
      <c r="AN5" s="512">
        <v>0</v>
      </c>
      <c r="AO5" s="512"/>
      <c r="AP5" s="512">
        <v>100000</v>
      </c>
      <c r="AQ5" s="512"/>
      <c r="AR5" s="512"/>
      <c r="AS5" s="512"/>
      <c r="AT5" s="512"/>
      <c r="AU5" s="512"/>
      <c r="AV5" s="512">
        <f>AL5-AU5-AZ5</f>
        <v>0</v>
      </c>
      <c r="AW5" s="512"/>
      <c r="AX5" s="512"/>
      <c r="AY5" s="512"/>
      <c r="AZ5" s="512"/>
    </row>
    <row r="6" spans="1:52" ht="31.95" customHeight="1">
      <c r="A6" s="523">
        <f>1+A5</f>
        <v>2</v>
      </c>
      <c r="B6" s="523">
        <v>1497</v>
      </c>
      <c r="C6" s="523" t="s">
        <v>59</v>
      </c>
      <c r="D6" s="524">
        <v>8820000</v>
      </c>
      <c r="E6" s="524">
        <v>8820000</v>
      </c>
      <c r="F6" s="524">
        <f t="shared" si="0"/>
        <v>0</v>
      </c>
      <c r="G6" s="524">
        <v>3023000</v>
      </c>
      <c r="H6" s="524">
        <v>2895345</v>
      </c>
      <c r="I6" s="524">
        <v>54300</v>
      </c>
      <c r="J6" s="524">
        <v>72465</v>
      </c>
      <c r="K6" s="524">
        <f t="shared" si="1"/>
        <v>126765</v>
      </c>
      <c r="L6" s="524">
        <f t="shared" si="2"/>
        <v>3022110</v>
      </c>
      <c r="M6" s="512">
        <f t="shared" si="3"/>
        <v>890</v>
      </c>
      <c r="N6" s="512">
        <f>100000+300000</f>
        <v>400000</v>
      </c>
      <c r="O6" s="512">
        <f t="shared" si="4"/>
        <v>5397000</v>
      </c>
      <c r="P6" s="512">
        <f t="shared" si="5"/>
        <v>890</v>
      </c>
      <c r="Q6" s="512"/>
      <c r="R6" s="512"/>
      <c r="S6" s="512">
        <f t="shared" si="6"/>
        <v>0</v>
      </c>
      <c r="T6" s="512">
        <v>0</v>
      </c>
      <c r="U6" s="512">
        <v>400000</v>
      </c>
      <c r="V6" s="512"/>
      <c r="W6" s="512">
        <v>400000</v>
      </c>
      <c r="X6" s="524"/>
      <c r="Y6" s="524"/>
      <c r="Z6" s="524"/>
      <c r="AA6" s="523"/>
      <c r="AB6" s="523" t="s">
        <v>1041</v>
      </c>
      <c r="AC6" s="523">
        <v>610000</v>
      </c>
      <c r="AD6" s="512"/>
      <c r="AE6" s="512">
        <v>100000</v>
      </c>
      <c r="AF6" s="512"/>
      <c r="AG6" s="512"/>
      <c r="AH6" s="512">
        <v>50000</v>
      </c>
      <c r="AI6" s="512"/>
      <c r="AJ6" s="512"/>
      <c r="AK6" s="512"/>
      <c r="AL6" s="525">
        <v>250000</v>
      </c>
      <c r="AM6" s="512">
        <v>400000</v>
      </c>
      <c r="AN6" s="512">
        <v>0</v>
      </c>
      <c r="AO6" s="385"/>
      <c r="AP6" s="512">
        <v>400000</v>
      </c>
      <c r="AQ6" s="385"/>
      <c r="AR6" s="385"/>
      <c r="AS6" s="385"/>
      <c r="AT6" s="385"/>
      <c r="AU6" s="385"/>
      <c r="AV6" s="512">
        <f t="shared" ref="AV6:AV13" si="7">AL6-AU6-AZ6</f>
        <v>250000</v>
      </c>
      <c r="AW6" s="385"/>
      <c r="AX6" s="385"/>
      <c r="AY6" s="385"/>
      <c r="AZ6" s="385"/>
    </row>
    <row r="7" spans="1:52" ht="31.95" customHeight="1">
      <c r="A7" s="523">
        <f t="shared" ref="A7:A13" si="8">1+A6</f>
        <v>3</v>
      </c>
      <c r="B7" s="523">
        <v>1647</v>
      </c>
      <c r="C7" s="523" t="s">
        <v>306</v>
      </c>
      <c r="D7" s="524">
        <v>4700000</v>
      </c>
      <c r="E7" s="524">
        <v>4700000</v>
      </c>
      <c r="F7" s="524">
        <f t="shared" si="0"/>
        <v>0</v>
      </c>
      <c r="G7" s="524">
        <v>4250000</v>
      </c>
      <c r="H7" s="524">
        <v>4217235</v>
      </c>
      <c r="I7" s="524">
        <v>0</v>
      </c>
      <c r="J7" s="524">
        <v>32765</v>
      </c>
      <c r="K7" s="524">
        <f t="shared" si="1"/>
        <v>32765</v>
      </c>
      <c r="L7" s="524">
        <f t="shared" si="2"/>
        <v>4250000</v>
      </c>
      <c r="M7" s="512">
        <f t="shared" si="3"/>
        <v>0</v>
      </c>
      <c r="N7" s="512">
        <v>100000</v>
      </c>
      <c r="O7" s="512">
        <f t="shared" si="4"/>
        <v>350000</v>
      </c>
      <c r="P7" s="512">
        <f t="shared" si="5"/>
        <v>0</v>
      </c>
      <c r="Q7" s="512"/>
      <c r="R7" s="512"/>
      <c r="S7" s="512">
        <f t="shared" si="6"/>
        <v>0</v>
      </c>
      <c r="T7" s="512">
        <v>0</v>
      </c>
      <c r="U7" s="512">
        <v>100000</v>
      </c>
      <c r="V7" s="512"/>
      <c r="W7" s="512">
        <v>100000</v>
      </c>
      <c r="X7" s="524"/>
      <c r="Y7" s="524"/>
      <c r="Z7" s="524"/>
      <c r="AA7" s="523"/>
      <c r="AB7" s="523" t="s">
        <v>336</v>
      </c>
      <c r="AC7" s="523">
        <v>810000</v>
      </c>
      <c r="AD7" s="512">
        <v>50000</v>
      </c>
      <c r="AE7" s="512"/>
      <c r="AF7" s="512">
        <v>50000</v>
      </c>
      <c r="AG7" s="512"/>
      <c r="AH7" s="512"/>
      <c r="AI7" s="512"/>
      <c r="AJ7" s="512"/>
      <c r="AK7" s="512"/>
      <c r="AL7" s="512"/>
      <c r="AM7" s="512">
        <v>100000</v>
      </c>
      <c r="AN7" s="512">
        <v>0</v>
      </c>
      <c r="AO7" s="512"/>
      <c r="AP7" s="512">
        <v>100000</v>
      </c>
      <c r="AQ7" s="385"/>
      <c r="AR7" s="385"/>
      <c r="AS7" s="385"/>
      <c r="AT7" s="385"/>
      <c r="AU7" s="512"/>
      <c r="AV7" s="512">
        <f t="shared" si="7"/>
        <v>0</v>
      </c>
      <c r="AW7" s="385"/>
      <c r="AX7" s="385"/>
      <c r="AY7" s="385"/>
      <c r="AZ7" s="385"/>
    </row>
    <row r="8" spans="1:52" ht="31.95" customHeight="1">
      <c r="A8" s="523">
        <f t="shared" si="8"/>
        <v>4</v>
      </c>
      <c r="B8" s="523">
        <v>1871</v>
      </c>
      <c r="C8" s="523" t="s">
        <v>365</v>
      </c>
      <c r="D8" s="524">
        <f>21740000+6500000</f>
        <v>28240000</v>
      </c>
      <c r="E8" s="524">
        <v>16000000</v>
      </c>
      <c r="F8" s="524">
        <f t="shared" si="0"/>
        <v>12240000</v>
      </c>
      <c r="G8" s="524">
        <v>10440000</v>
      </c>
      <c r="H8" s="524">
        <v>5715227</v>
      </c>
      <c r="I8" s="524">
        <v>0</v>
      </c>
      <c r="J8" s="524">
        <v>3443356</v>
      </c>
      <c r="K8" s="524">
        <f t="shared" si="1"/>
        <v>3443356</v>
      </c>
      <c r="L8" s="524">
        <f t="shared" si="2"/>
        <v>9158583</v>
      </c>
      <c r="M8" s="512">
        <f t="shared" si="3"/>
        <v>1281417</v>
      </c>
      <c r="N8" s="512">
        <f>11300000+6500000-8900000</f>
        <v>8900000</v>
      </c>
      <c r="O8" s="512">
        <f t="shared" si="4"/>
        <v>8900000</v>
      </c>
      <c r="P8" s="512">
        <f t="shared" si="5"/>
        <v>1281417</v>
      </c>
      <c r="Q8" s="512"/>
      <c r="R8" s="512"/>
      <c r="S8" s="512">
        <f t="shared" si="6"/>
        <v>0</v>
      </c>
      <c r="T8" s="512">
        <v>0</v>
      </c>
      <c r="U8" s="512">
        <v>8900000</v>
      </c>
      <c r="V8" s="512">
        <v>8900000</v>
      </c>
      <c r="W8" s="512">
        <v>0</v>
      </c>
      <c r="X8" s="524"/>
      <c r="Y8" s="524"/>
      <c r="Z8" s="524"/>
      <c r="AA8" s="523"/>
      <c r="AB8" s="523" t="s">
        <v>305</v>
      </c>
      <c r="AC8" s="523">
        <v>760000</v>
      </c>
      <c r="AD8" s="512"/>
      <c r="AE8" s="512"/>
      <c r="AF8" s="512">
        <v>3000000</v>
      </c>
      <c r="AG8" s="512"/>
      <c r="AH8" s="512">
        <v>1500000</v>
      </c>
      <c r="AI8" s="512"/>
      <c r="AJ8" s="512"/>
      <c r="AK8" s="512">
        <v>2200000</v>
      </c>
      <c r="AL8" s="525">
        <v>2200000</v>
      </c>
      <c r="AM8" s="512">
        <v>8900000</v>
      </c>
      <c r="AN8" s="512">
        <v>0</v>
      </c>
      <c r="AO8" s="512">
        <v>8900000</v>
      </c>
      <c r="AP8" s="512">
        <v>0</v>
      </c>
      <c r="AQ8" s="385"/>
      <c r="AR8" s="385"/>
      <c r="AS8" s="385"/>
      <c r="AT8" s="385"/>
      <c r="AU8" s="512">
        <v>2200000</v>
      </c>
      <c r="AV8" s="512">
        <f t="shared" si="7"/>
        <v>0</v>
      </c>
      <c r="AW8" s="385"/>
      <c r="AX8" s="385"/>
      <c r="AY8" s="385"/>
      <c r="AZ8" s="385"/>
    </row>
    <row r="9" spans="1:52" ht="31.95" customHeight="1">
      <c r="A9" s="523">
        <f t="shared" si="8"/>
        <v>5</v>
      </c>
      <c r="B9" s="523">
        <v>1982</v>
      </c>
      <c r="C9" s="523" t="s">
        <v>860</v>
      </c>
      <c r="D9" s="524">
        <f>17500000-2000000</f>
        <v>15500000</v>
      </c>
      <c r="E9" s="524">
        <v>14800000</v>
      </c>
      <c r="F9" s="524">
        <f t="shared" si="0"/>
        <v>700000</v>
      </c>
      <c r="G9" s="524">
        <v>12200000</v>
      </c>
      <c r="H9" s="524">
        <v>8517554</v>
      </c>
      <c r="I9" s="524">
        <v>0</v>
      </c>
      <c r="J9" s="524">
        <v>3660421</v>
      </c>
      <c r="K9" s="524">
        <f t="shared" si="1"/>
        <v>3660421</v>
      </c>
      <c r="L9" s="524">
        <f t="shared" si="2"/>
        <v>12177975</v>
      </c>
      <c r="M9" s="512">
        <f t="shared" si="3"/>
        <v>22025</v>
      </c>
      <c r="N9" s="512">
        <f>5300000-2000000-1650000</f>
        <v>1650000</v>
      </c>
      <c r="O9" s="512">
        <f t="shared" si="4"/>
        <v>1650000</v>
      </c>
      <c r="P9" s="512">
        <f t="shared" si="5"/>
        <v>22025</v>
      </c>
      <c r="Q9" s="512"/>
      <c r="R9" s="512"/>
      <c r="S9" s="512">
        <f t="shared" si="6"/>
        <v>0</v>
      </c>
      <c r="T9" s="512">
        <v>0</v>
      </c>
      <c r="U9" s="512">
        <v>1650000</v>
      </c>
      <c r="V9" s="512"/>
      <c r="W9" s="512">
        <v>1650000</v>
      </c>
      <c r="X9" s="524"/>
      <c r="Y9" s="524"/>
      <c r="Z9" s="524"/>
      <c r="AA9" s="523"/>
      <c r="AB9" s="523" t="s">
        <v>634</v>
      </c>
      <c r="AC9" s="523">
        <v>722000</v>
      </c>
      <c r="AD9" s="512">
        <v>300000</v>
      </c>
      <c r="AE9" s="512"/>
      <c r="AF9" s="512">
        <v>1350000</v>
      </c>
      <c r="AG9" s="512"/>
      <c r="AH9" s="512"/>
      <c r="AI9" s="512"/>
      <c r="AJ9" s="512"/>
      <c r="AK9" s="512"/>
      <c r="AL9" s="512"/>
      <c r="AM9" s="512">
        <v>1650000</v>
      </c>
      <c r="AN9" s="512">
        <v>0</v>
      </c>
      <c r="AO9" s="385"/>
      <c r="AP9" s="512">
        <v>1650000</v>
      </c>
      <c r="AQ9" s="385"/>
      <c r="AR9" s="385"/>
      <c r="AS9" s="385"/>
      <c r="AT9" s="385"/>
      <c r="AU9" s="385"/>
      <c r="AV9" s="512">
        <f t="shared" si="7"/>
        <v>0</v>
      </c>
      <c r="AW9" s="385"/>
      <c r="AX9" s="385"/>
      <c r="AY9" s="385"/>
      <c r="AZ9" s="385"/>
    </row>
    <row r="10" spans="1:52" ht="49.95" customHeight="1">
      <c r="A10" s="523">
        <f t="shared" si="8"/>
        <v>6</v>
      </c>
      <c r="B10" s="523">
        <v>2082</v>
      </c>
      <c r="C10" s="523" t="s">
        <v>1042</v>
      </c>
      <c r="D10" s="524">
        <f>1000000+200000</f>
        <v>1200000</v>
      </c>
      <c r="E10" s="524">
        <v>1000000</v>
      </c>
      <c r="F10" s="524">
        <f t="shared" si="0"/>
        <v>200000</v>
      </c>
      <c r="G10" s="524">
        <v>200000</v>
      </c>
      <c r="H10" s="524">
        <v>27574</v>
      </c>
      <c r="I10" s="524">
        <v>0</v>
      </c>
      <c r="J10" s="524">
        <v>22561</v>
      </c>
      <c r="K10" s="524">
        <f t="shared" si="1"/>
        <v>22561</v>
      </c>
      <c r="L10" s="524">
        <f t="shared" si="2"/>
        <v>50135</v>
      </c>
      <c r="M10" s="512">
        <f t="shared" si="3"/>
        <v>149865</v>
      </c>
      <c r="N10" s="512">
        <f>800000+200000</f>
        <v>1000000</v>
      </c>
      <c r="O10" s="512">
        <f t="shared" si="4"/>
        <v>0</v>
      </c>
      <c r="P10" s="512">
        <f t="shared" si="5"/>
        <v>149865</v>
      </c>
      <c r="Q10" s="512"/>
      <c r="R10" s="512"/>
      <c r="S10" s="512">
        <f t="shared" si="6"/>
        <v>0</v>
      </c>
      <c r="T10" s="512">
        <v>0</v>
      </c>
      <c r="U10" s="512">
        <v>1000000</v>
      </c>
      <c r="V10" s="512"/>
      <c r="W10" s="512">
        <v>1000000</v>
      </c>
      <c r="X10" s="524"/>
      <c r="Y10" s="524"/>
      <c r="Z10" s="524"/>
      <c r="AA10" s="523"/>
      <c r="AB10" s="523" t="s">
        <v>366</v>
      </c>
      <c r="AC10" s="523">
        <v>760000</v>
      </c>
      <c r="AD10" s="512"/>
      <c r="AE10" s="512"/>
      <c r="AF10" s="512"/>
      <c r="AG10" s="512"/>
      <c r="AH10" s="512"/>
      <c r="AI10" s="512"/>
      <c r="AJ10" s="512"/>
      <c r="AK10" s="512"/>
      <c r="AL10" s="512"/>
      <c r="AM10" s="512">
        <v>0</v>
      </c>
      <c r="AN10" s="512">
        <v>1000000</v>
      </c>
      <c r="AO10" s="385"/>
      <c r="AP10" s="512">
        <v>0</v>
      </c>
      <c r="AQ10" s="385"/>
      <c r="AR10" s="385"/>
      <c r="AS10" s="385"/>
      <c r="AT10" s="385"/>
      <c r="AU10" s="385"/>
      <c r="AV10" s="512">
        <f t="shared" si="7"/>
        <v>0</v>
      </c>
      <c r="AW10" s="385"/>
      <c r="AX10" s="385"/>
      <c r="AY10" s="385"/>
      <c r="AZ10" s="385"/>
    </row>
    <row r="11" spans="1:52" ht="31.95" customHeight="1">
      <c r="A11" s="523">
        <f t="shared" si="8"/>
        <v>7</v>
      </c>
      <c r="B11" s="523">
        <v>2083</v>
      </c>
      <c r="C11" s="523" t="s">
        <v>318</v>
      </c>
      <c r="D11" s="524">
        <f>8580000-1000000+300000</f>
        <v>7880000</v>
      </c>
      <c r="E11" s="524">
        <v>5580000</v>
      </c>
      <c r="F11" s="524">
        <f t="shared" si="0"/>
        <v>2300000</v>
      </c>
      <c r="G11" s="524">
        <v>5580000</v>
      </c>
      <c r="H11" s="524">
        <v>2975445</v>
      </c>
      <c r="I11" s="524">
        <v>0</v>
      </c>
      <c r="J11" s="524">
        <v>0</v>
      </c>
      <c r="K11" s="524">
        <f t="shared" si="1"/>
        <v>0</v>
      </c>
      <c r="L11" s="524">
        <f t="shared" si="2"/>
        <v>2975445</v>
      </c>
      <c r="M11" s="512">
        <f t="shared" si="3"/>
        <v>2604555</v>
      </c>
      <c r="N11" s="512">
        <f>3000000-1000000+300000</f>
        <v>2300000</v>
      </c>
      <c r="O11" s="512">
        <f t="shared" si="4"/>
        <v>0</v>
      </c>
      <c r="P11" s="512">
        <f t="shared" si="5"/>
        <v>2604555</v>
      </c>
      <c r="Q11" s="512"/>
      <c r="R11" s="512"/>
      <c r="S11" s="512">
        <f t="shared" si="6"/>
        <v>0</v>
      </c>
      <c r="T11" s="512">
        <v>0</v>
      </c>
      <c r="U11" s="512">
        <v>2300000</v>
      </c>
      <c r="V11" s="512"/>
      <c r="W11" s="512">
        <v>0</v>
      </c>
      <c r="X11" s="524"/>
      <c r="Y11" s="524"/>
      <c r="Z11" s="524"/>
      <c r="AA11" s="524">
        <v>2300000</v>
      </c>
      <c r="AB11" s="523" t="s">
        <v>1043</v>
      </c>
      <c r="AC11" s="523">
        <v>810000</v>
      </c>
      <c r="AD11" s="385"/>
      <c r="AE11" s="385"/>
      <c r="AF11" s="385"/>
      <c r="AG11" s="385"/>
      <c r="AH11" s="385"/>
      <c r="AI11" s="385"/>
      <c r="AJ11" s="512">
        <v>2300000</v>
      </c>
      <c r="AK11" s="512"/>
      <c r="AL11" s="512"/>
      <c r="AM11" s="512">
        <v>2300000</v>
      </c>
      <c r="AN11" s="512">
        <v>0</v>
      </c>
      <c r="AO11" s="385"/>
      <c r="AP11" s="512">
        <v>0</v>
      </c>
      <c r="AQ11" s="385"/>
      <c r="AR11" s="385"/>
      <c r="AS11" s="385"/>
      <c r="AT11" s="512">
        <v>2300000</v>
      </c>
      <c r="AU11" s="385"/>
      <c r="AV11" s="512">
        <f t="shared" si="7"/>
        <v>0</v>
      </c>
      <c r="AW11" s="385"/>
      <c r="AX11" s="385"/>
      <c r="AY11" s="385"/>
      <c r="AZ11" s="512"/>
    </row>
    <row r="12" spans="1:52" ht="31.95" customHeight="1">
      <c r="A12" s="523">
        <f t="shared" si="8"/>
        <v>8</v>
      </c>
      <c r="B12" s="313">
        <v>2170</v>
      </c>
      <c r="C12" s="3" t="s">
        <v>446</v>
      </c>
      <c r="D12" s="4">
        <v>360000</v>
      </c>
      <c r="E12" s="4">
        <v>280000</v>
      </c>
      <c r="F12" s="524">
        <f t="shared" si="0"/>
        <v>80000</v>
      </c>
      <c r="G12" s="4">
        <v>160000</v>
      </c>
      <c r="H12" s="4">
        <v>112689</v>
      </c>
      <c r="I12" s="4">
        <v>0</v>
      </c>
      <c r="J12" s="4">
        <v>0</v>
      </c>
      <c r="K12" s="524">
        <f t="shared" si="1"/>
        <v>0</v>
      </c>
      <c r="L12" s="524">
        <f t="shared" si="2"/>
        <v>112689</v>
      </c>
      <c r="M12" s="512">
        <f t="shared" si="3"/>
        <v>47311</v>
      </c>
      <c r="N12" s="512">
        <v>200000</v>
      </c>
      <c r="O12" s="512">
        <f t="shared" si="4"/>
        <v>0</v>
      </c>
      <c r="P12" s="512">
        <f t="shared" si="5"/>
        <v>47311</v>
      </c>
      <c r="Q12" s="512"/>
      <c r="R12" s="512"/>
      <c r="S12" s="512">
        <f t="shared" si="6"/>
        <v>0</v>
      </c>
      <c r="T12" s="512">
        <v>0</v>
      </c>
      <c r="U12" s="512">
        <v>200000</v>
      </c>
      <c r="V12" s="512"/>
      <c r="W12" s="512">
        <v>200000</v>
      </c>
      <c r="X12" s="524"/>
      <c r="Y12" s="524"/>
      <c r="Z12" s="524"/>
      <c r="AA12" s="523"/>
      <c r="AB12" s="3" t="s">
        <v>513</v>
      </c>
      <c r="AC12" s="523">
        <v>760000</v>
      </c>
      <c r="AD12" s="385"/>
      <c r="AE12" s="385"/>
      <c r="AF12" s="512">
        <v>30000</v>
      </c>
      <c r="AG12" s="512"/>
      <c r="AH12" s="512">
        <v>100000</v>
      </c>
      <c r="AI12" s="512"/>
      <c r="AJ12" s="512"/>
      <c r="AK12" s="512">
        <v>70000</v>
      </c>
      <c r="AL12" s="512"/>
      <c r="AM12" s="512">
        <v>200000</v>
      </c>
      <c r="AN12" s="512">
        <v>0</v>
      </c>
      <c r="AO12" s="385"/>
      <c r="AP12" s="512">
        <v>200000</v>
      </c>
      <c r="AQ12" s="385"/>
      <c r="AR12" s="385"/>
      <c r="AS12" s="385"/>
      <c r="AT12" s="385"/>
      <c r="AU12" s="385"/>
      <c r="AV12" s="512">
        <f t="shared" si="7"/>
        <v>0</v>
      </c>
      <c r="AW12" s="385"/>
      <c r="AX12" s="385"/>
      <c r="AY12" s="385"/>
      <c r="AZ12" s="385"/>
    </row>
    <row r="13" spans="1:52" ht="31.95" customHeight="1">
      <c r="A13" s="523">
        <f t="shared" si="8"/>
        <v>9</v>
      </c>
      <c r="B13" s="313">
        <v>2188</v>
      </c>
      <c r="C13" s="3" t="s">
        <v>514</v>
      </c>
      <c r="D13" s="4">
        <v>4328000</v>
      </c>
      <c r="E13" s="4">
        <v>4328000</v>
      </c>
      <c r="F13" s="524">
        <f t="shared" si="0"/>
        <v>0</v>
      </c>
      <c r="G13" s="4">
        <v>4328000</v>
      </c>
      <c r="H13" s="4">
        <v>3717986</v>
      </c>
      <c r="I13" s="4">
        <v>0</v>
      </c>
      <c r="J13" s="4">
        <v>13766</v>
      </c>
      <c r="K13" s="524">
        <f t="shared" si="1"/>
        <v>13766</v>
      </c>
      <c r="L13" s="524">
        <f t="shared" si="2"/>
        <v>3731752</v>
      </c>
      <c r="M13" s="512">
        <f t="shared" si="3"/>
        <v>596248</v>
      </c>
      <c r="N13" s="512"/>
      <c r="O13" s="512">
        <f t="shared" si="4"/>
        <v>0</v>
      </c>
      <c r="P13" s="512">
        <f t="shared" si="5"/>
        <v>596248</v>
      </c>
      <c r="Q13" s="512"/>
      <c r="R13" s="512"/>
      <c r="S13" s="512">
        <f t="shared" si="6"/>
        <v>0</v>
      </c>
      <c r="T13" s="512">
        <v>0</v>
      </c>
      <c r="U13" s="512">
        <v>0</v>
      </c>
      <c r="V13" s="512"/>
      <c r="W13" s="512">
        <v>0</v>
      </c>
      <c r="X13" s="524"/>
      <c r="Y13" s="524"/>
      <c r="Z13" s="524"/>
      <c r="AA13" s="512"/>
      <c r="AB13" s="3" t="s">
        <v>1044</v>
      </c>
      <c r="AC13" s="523">
        <v>810000</v>
      </c>
      <c r="AD13" s="385"/>
      <c r="AE13" s="385"/>
      <c r="AF13" s="385"/>
      <c r="AG13" s="385"/>
      <c r="AH13" s="385"/>
      <c r="AI13" s="385"/>
      <c r="AJ13" s="385"/>
      <c r="AK13" s="385"/>
      <c r="AL13" s="385"/>
      <c r="AM13" s="512">
        <v>0</v>
      </c>
      <c r="AN13" s="512">
        <v>0</v>
      </c>
      <c r="AO13" s="385"/>
      <c r="AP13" s="512">
        <v>0</v>
      </c>
      <c r="AQ13" s="385"/>
      <c r="AR13" s="385"/>
      <c r="AS13" s="385"/>
      <c r="AT13" s="385"/>
      <c r="AU13" s="385"/>
      <c r="AV13" s="512">
        <f t="shared" si="7"/>
        <v>0</v>
      </c>
      <c r="AW13" s="385"/>
      <c r="AX13" s="385"/>
      <c r="AY13" s="385"/>
      <c r="AZ13" s="385"/>
    </row>
    <row r="14" spans="1:52" ht="31.95" customHeight="1">
      <c r="A14" s="270">
        <f>COUNT(B5:B13)</f>
        <v>9</v>
      </c>
      <c r="B14" s="526"/>
      <c r="C14" s="527" t="s">
        <v>335</v>
      </c>
      <c r="D14" s="60">
        <f t="shared" ref="D14:AZ14" si="9">SUM(D5:D13)</f>
        <v>74318000</v>
      </c>
      <c r="E14" s="60">
        <f t="shared" si="9"/>
        <v>58798000</v>
      </c>
      <c r="F14" s="60">
        <f t="shared" si="9"/>
        <v>15520000</v>
      </c>
      <c r="G14" s="60">
        <f t="shared" si="9"/>
        <v>42391000</v>
      </c>
      <c r="H14" s="60">
        <f t="shared" si="9"/>
        <v>30329540</v>
      </c>
      <c r="I14" s="60">
        <f t="shared" si="9"/>
        <v>54300</v>
      </c>
      <c r="J14" s="60">
        <f t="shared" si="9"/>
        <v>7304816</v>
      </c>
      <c r="K14" s="60">
        <f t="shared" si="9"/>
        <v>7359116</v>
      </c>
      <c r="L14" s="60">
        <f t="shared" si="9"/>
        <v>37688656</v>
      </c>
      <c r="M14" s="60">
        <f t="shared" si="9"/>
        <v>4702344</v>
      </c>
      <c r="N14" s="60">
        <f t="shared" si="9"/>
        <v>14650000</v>
      </c>
      <c r="O14" s="60">
        <f t="shared" si="9"/>
        <v>17277000</v>
      </c>
      <c r="P14" s="60">
        <f t="shared" si="9"/>
        <v>4702344</v>
      </c>
      <c r="Q14" s="60">
        <f t="shared" si="9"/>
        <v>0</v>
      </c>
      <c r="R14" s="60">
        <f t="shared" si="9"/>
        <v>0</v>
      </c>
      <c r="S14" s="60">
        <f t="shared" si="9"/>
        <v>0</v>
      </c>
      <c r="T14" s="60">
        <v>0</v>
      </c>
      <c r="U14" s="60">
        <v>14650000</v>
      </c>
      <c r="V14" s="60">
        <v>8900000</v>
      </c>
      <c r="W14" s="60">
        <v>3450000</v>
      </c>
      <c r="X14" s="60">
        <v>0</v>
      </c>
      <c r="Y14" s="60">
        <v>0</v>
      </c>
      <c r="Z14" s="60">
        <v>0</v>
      </c>
      <c r="AA14" s="60">
        <v>2300000</v>
      </c>
      <c r="AB14" s="60">
        <v>0</v>
      </c>
      <c r="AC14" s="60"/>
      <c r="AD14" s="60">
        <v>350000</v>
      </c>
      <c r="AE14" s="60">
        <v>100000</v>
      </c>
      <c r="AF14" s="60">
        <v>4530000</v>
      </c>
      <c r="AG14" s="60">
        <v>0</v>
      </c>
      <c r="AH14" s="60">
        <v>1650000</v>
      </c>
      <c r="AI14" s="60">
        <v>0</v>
      </c>
      <c r="AJ14" s="60">
        <v>2300000</v>
      </c>
      <c r="AK14" s="60">
        <v>2270000</v>
      </c>
      <c r="AL14" s="60">
        <v>2450000</v>
      </c>
      <c r="AM14" s="60">
        <v>13650000</v>
      </c>
      <c r="AN14" s="60">
        <v>1000000</v>
      </c>
      <c r="AO14" s="60">
        <v>8900000</v>
      </c>
      <c r="AP14" s="60">
        <v>2450000</v>
      </c>
      <c r="AQ14" s="60">
        <v>0</v>
      </c>
      <c r="AR14" s="60">
        <v>0</v>
      </c>
      <c r="AS14" s="60">
        <v>0</v>
      </c>
      <c r="AT14" s="60">
        <v>2300000</v>
      </c>
      <c r="AU14" s="60">
        <f t="shared" si="9"/>
        <v>2200000</v>
      </c>
      <c r="AV14" s="60">
        <f t="shared" si="9"/>
        <v>250000</v>
      </c>
      <c r="AW14" s="60">
        <f t="shared" si="9"/>
        <v>0</v>
      </c>
      <c r="AX14" s="60">
        <f t="shared" si="9"/>
        <v>0</v>
      </c>
      <c r="AY14" s="60">
        <f t="shared" si="9"/>
        <v>0</v>
      </c>
      <c r="AZ14" s="60">
        <f t="shared" si="9"/>
        <v>0</v>
      </c>
    </row>
    <row r="15" spans="1:52" ht="13.8" hidden="1">
      <c r="A15" s="528"/>
      <c r="B15" s="529"/>
      <c r="C15" s="529"/>
      <c r="D15" s="530"/>
      <c r="E15" s="530"/>
      <c r="F15" s="530"/>
      <c r="G15" s="530"/>
      <c r="H15" s="530"/>
      <c r="I15" s="530"/>
      <c r="J15" s="530"/>
      <c r="K15" s="530"/>
      <c r="L15" s="530">
        <f>K14+H14</f>
        <v>37688656</v>
      </c>
      <c r="M15" s="530">
        <f>P15+S14-T14</f>
        <v>4702344</v>
      </c>
      <c r="N15" s="530"/>
      <c r="O15" s="530"/>
      <c r="P15" s="530">
        <f>G14-L14</f>
        <v>4702344</v>
      </c>
      <c r="Q15" s="530"/>
      <c r="R15" s="530"/>
      <c r="S15" s="530"/>
      <c r="T15" s="530"/>
      <c r="U15" s="530"/>
      <c r="V15" s="529"/>
      <c r="W15" s="529"/>
      <c r="X15" s="529"/>
      <c r="Y15" s="529"/>
      <c r="Z15" s="529"/>
      <c r="AA15" s="529"/>
      <c r="AB15" s="528"/>
      <c r="AC15" s="529"/>
    </row>
    <row r="16" spans="1:52" ht="13.8">
      <c r="A16" s="528"/>
      <c r="B16" s="529"/>
      <c r="C16" s="529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29"/>
      <c r="V16" s="529"/>
      <c r="W16" s="529"/>
      <c r="X16" s="529"/>
      <c r="Y16" s="529"/>
      <c r="Z16" s="529"/>
      <c r="AA16" s="529"/>
      <c r="AB16" s="528"/>
      <c r="AC16" s="529"/>
    </row>
    <row r="17" spans="1:29" ht="13.8">
      <c r="A17" s="528"/>
      <c r="B17" s="529"/>
      <c r="C17" s="529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0"/>
      <c r="S17" s="530"/>
      <c r="T17" s="530"/>
      <c r="U17" s="529"/>
      <c r="V17" s="529"/>
      <c r="W17" s="529"/>
      <c r="X17" s="529"/>
      <c r="Y17" s="529"/>
      <c r="Z17" s="529"/>
      <c r="AA17" s="529"/>
      <c r="AB17" s="528"/>
      <c r="AC17" s="529"/>
    </row>
    <row r="18" spans="1:29" ht="13.8">
      <c r="A18" s="528"/>
      <c r="B18" s="529"/>
      <c r="C18" s="529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29"/>
      <c r="V18" s="529"/>
      <c r="W18" s="529"/>
      <c r="X18" s="529"/>
      <c r="Y18" s="529"/>
      <c r="Z18" s="529"/>
      <c r="AA18" s="529"/>
      <c r="AB18" s="528"/>
      <c r="AC18" s="529"/>
    </row>
    <row r="19" spans="1:29" ht="13.8">
      <c r="A19" s="528"/>
      <c r="B19" s="529"/>
      <c r="C19" s="529"/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29"/>
      <c r="V19" s="529"/>
      <c r="W19" s="529"/>
      <c r="X19" s="529"/>
      <c r="Y19" s="529"/>
      <c r="Z19" s="529"/>
      <c r="AA19" s="529"/>
      <c r="AB19" s="528"/>
      <c r="AC19" s="529"/>
    </row>
    <row r="20" spans="1:29" ht="13.8">
      <c r="A20" s="528"/>
      <c r="B20" s="529"/>
      <c r="C20" s="529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0"/>
      <c r="R20" s="530"/>
      <c r="S20" s="530"/>
      <c r="T20" s="530"/>
      <c r="U20" s="529"/>
      <c r="V20" s="529"/>
      <c r="W20" s="529"/>
      <c r="X20" s="529"/>
      <c r="Y20" s="529"/>
      <c r="Z20" s="529"/>
      <c r="AA20" s="529"/>
      <c r="AB20" s="528"/>
      <c r="AC20" s="529"/>
    </row>
  </sheetData>
  <mergeCells count="5">
    <mergeCell ref="T3:U3"/>
    <mergeCell ref="V3:AA3"/>
    <mergeCell ref="AD3:AN3"/>
    <mergeCell ref="AO3:AT3"/>
    <mergeCell ref="AU3:AZ3"/>
  </mergeCells>
  <conditionalFormatting sqref="F5:F13">
    <cfRule type="cellIs" dxfId="49" priority="48" operator="equal">
      <formula>0</formula>
    </cfRule>
  </conditionalFormatting>
  <conditionalFormatting sqref="A2:W2 AB10:AC10 B6:E8 Z2:AA2 Z1:AB1 G6:J8 K6:X13 Z6:AA13 Z4:AB5 X1:Y2 B14 B4:L4 V4:W4 AC1:AC9 A1:M1 O1:W1 F6:F13 AB12:AC12 B5:W5 A15:AC20 Y4:Y13 X4:X5 A3:S3 AB3">
    <cfRule type="cellIs" dxfId="48" priority="47" operator="equal">
      <formula>0</formula>
    </cfRule>
  </conditionalFormatting>
  <conditionalFormatting sqref="AB8">
    <cfRule type="cellIs" dxfId="47" priority="44" operator="equal">
      <formula>0</formula>
    </cfRule>
  </conditionalFormatting>
  <conditionalFormatting sqref="AB6">
    <cfRule type="cellIs" dxfId="46" priority="46" operator="equal">
      <formula>0</formula>
    </cfRule>
  </conditionalFormatting>
  <conditionalFormatting sqref="AB7">
    <cfRule type="cellIs" dxfId="45" priority="45" operator="equal">
      <formula>0</formula>
    </cfRule>
  </conditionalFormatting>
  <conditionalFormatting sqref="B9:E9 G9:J9">
    <cfRule type="cellIs" dxfId="44" priority="43" operator="equal">
      <formula>0</formula>
    </cfRule>
  </conditionalFormatting>
  <conditionalFormatting sqref="AB9">
    <cfRule type="cellIs" dxfId="43" priority="42" operator="equal">
      <formula>0</formula>
    </cfRule>
  </conditionalFormatting>
  <conditionalFormatting sqref="B12:E12 B10:C10 G12:J12">
    <cfRule type="cellIs" dxfId="42" priority="41" operator="equal">
      <formula>0</formula>
    </cfRule>
  </conditionalFormatting>
  <conditionalFormatting sqref="B10 E10 G10:J10">
    <cfRule type="cellIs" dxfId="41" priority="40" operator="equal">
      <formula>0</formula>
    </cfRule>
  </conditionalFormatting>
  <conditionalFormatting sqref="C10">
    <cfRule type="cellIs" dxfId="40" priority="39" operator="equal">
      <formula>0</formula>
    </cfRule>
  </conditionalFormatting>
  <conditionalFormatting sqref="D10">
    <cfRule type="cellIs" dxfId="39" priority="38" operator="equal">
      <formula>0</formula>
    </cfRule>
  </conditionalFormatting>
  <conditionalFormatting sqref="AB11">
    <cfRule type="cellIs" dxfId="38" priority="37" operator="equal">
      <formula>0</formula>
    </cfRule>
  </conditionalFormatting>
  <conditionalFormatting sqref="B11:E11 G11:J11">
    <cfRule type="cellIs" dxfId="37" priority="36" operator="equal">
      <formula>0</formula>
    </cfRule>
  </conditionalFormatting>
  <conditionalFormatting sqref="AC11">
    <cfRule type="cellIs" dxfId="36" priority="35" operator="equal">
      <formula>0</formula>
    </cfRule>
  </conditionalFormatting>
  <conditionalFormatting sqref="AC13">
    <cfRule type="cellIs" dxfId="35" priority="34" operator="equal">
      <formula>0</formula>
    </cfRule>
  </conditionalFormatting>
  <conditionalFormatting sqref="AB2">
    <cfRule type="cellIs" dxfId="34" priority="33" operator="equal">
      <formula>0</formula>
    </cfRule>
  </conditionalFormatting>
  <conditionalFormatting sqref="AA12">
    <cfRule type="cellIs" dxfId="33" priority="32" operator="equal">
      <formula>0</formula>
    </cfRule>
  </conditionalFormatting>
  <conditionalFormatting sqref="A5:A13">
    <cfRule type="cellIs" dxfId="32" priority="31" operator="equal">
      <formula>0</formula>
    </cfRule>
  </conditionalFormatting>
  <conditionalFormatting sqref="AM5:AT5 AM6:AN13 AP6:AP13">
    <cfRule type="cellIs" dxfId="31" priority="30" operator="equal">
      <formula>0</formula>
    </cfRule>
  </conditionalFormatting>
  <conditionalFormatting sqref="AD6:AD10">
    <cfRule type="cellIs" dxfId="30" priority="29" operator="equal">
      <formula>0</formula>
    </cfRule>
  </conditionalFormatting>
  <conditionalFormatting sqref="AO7">
    <cfRule type="cellIs" dxfId="29" priority="28" operator="equal">
      <formula>0</formula>
    </cfRule>
  </conditionalFormatting>
  <conditionalFormatting sqref="AE6:AE10">
    <cfRule type="cellIs" dxfId="28" priority="27" operator="equal">
      <formula>0</formula>
    </cfRule>
  </conditionalFormatting>
  <conditionalFormatting sqref="AO8">
    <cfRule type="cellIs" dxfId="27" priority="26" operator="equal">
      <formula>0</formula>
    </cfRule>
  </conditionalFormatting>
  <conditionalFormatting sqref="AK5">
    <cfRule type="cellIs" dxfId="26" priority="25" operator="equal">
      <formula>0</formula>
    </cfRule>
  </conditionalFormatting>
  <conditionalFormatting sqref="AF6:AF10">
    <cfRule type="cellIs" dxfId="25" priority="24" operator="equal">
      <formula>0</formula>
    </cfRule>
  </conditionalFormatting>
  <conditionalFormatting sqref="AF12">
    <cfRule type="cellIs" dxfId="24" priority="23" operator="equal">
      <formula>0</formula>
    </cfRule>
  </conditionalFormatting>
  <conditionalFormatting sqref="AF5">
    <cfRule type="cellIs" dxfId="23" priority="22" operator="equal">
      <formula>0</formula>
    </cfRule>
  </conditionalFormatting>
  <conditionalFormatting sqref="AG6:AG10">
    <cfRule type="cellIs" dxfId="22" priority="21" operator="equal">
      <formula>0</formula>
    </cfRule>
  </conditionalFormatting>
  <conditionalFormatting sqref="AG12">
    <cfRule type="cellIs" dxfId="21" priority="20" operator="equal">
      <formula>0</formula>
    </cfRule>
  </conditionalFormatting>
  <conditionalFormatting sqref="AG5">
    <cfRule type="cellIs" dxfId="20" priority="19" operator="equal">
      <formula>0</formula>
    </cfRule>
  </conditionalFormatting>
  <conditionalFormatting sqref="AH6:AH10">
    <cfRule type="cellIs" dxfId="19" priority="18" operator="equal">
      <formula>0</formula>
    </cfRule>
  </conditionalFormatting>
  <conditionalFormatting sqref="AH12">
    <cfRule type="cellIs" dxfId="18" priority="17" operator="equal">
      <formula>0</formula>
    </cfRule>
  </conditionalFormatting>
  <conditionalFormatting sqref="AH5">
    <cfRule type="cellIs" dxfId="17" priority="16" operator="equal">
      <formula>0</formula>
    </cfRule>
  </conditionalFormatting>
  <conditionalFormatting sqref="AI6:AI10">
    <cfRule type="cellIs" dxfId="16" priority="15" operator="equal">
      <formula>0</formula>
    </cfRule>
  </conditionalFormatting>
  <conditionalFormatting sqref="AI12">
    <cfRule type="cellIs" dxfId="15" priority="14" operator="equal">
      <formula>0</formula>
    </cfRule>
  </conditionalFormatting>
  <conditionalFormatting sqref="AI5">
    <cfRule type="cellIs" dxfId="14" priority="13" operator="equal">
      <formula>0</formula>
    </cfRule>
  </conditionalFormatting>
  <conditionalFormatting sqref="AT11">
    <cfRule type="cellIs" dxfId="13" priority="12" operator="equal">
      <formula>0</formula>
    </cfRule>
  </conditionalFormatting>
  <conditionalFormatting sqref="AJ6:AJ10">
    <cfRule type="cellIs" dxfId="12" priority="11" operator="equal">
      <formula>0</formula>
    </cfRule>
  </conditionalFormatting>
  <conditionalFormatting sqref="AJ12">
    <cfRule type="cellIs" dxfId="11" priority="10" operator="equal">
      <formula>0</formula>
    </cfRule>
  </conditionalFormatting>
  <conditionalFormatting sqref="AJ5">
    <cfRule type="cellIs" dxfId="10" priority="9" operator="equal">
      <formula>0</formula>
    </cfRule>
  </conditionalFormatting>
  <conditionalFormatting sqref="AJ11">
    <cfRule type="cellIs" dxfId="9" priority="8" operator="equal">
      <formula>0</formula>
    </cfRule>
  </conditionalFormatting>
  <conditionalFormatting sqref="AK6:AK12">
    <cfRule type="cellIs" dxfId="8" priority="7" operator="equal">
      <formula>0</formula>
    </cfRule>
  </conditionalFormatting>
  <conditionalFormatting sqref="AL5">
    <cfRule type="cellIs" dxfId="7" priority="6" operator="equal">
      <formula>0</formula>
    </cfRule>
  </conditionalFormatting>
  <conditionalFormatting sqref="AL6:AL12">
    <cfRule type="cellIs" dxfId="6" priority="5" operator="equal">
      <formula>0</formula>
    </cfRule>
  </conditionalFormatting>
  <conditionalFormatting sqref="AU5:AZ5 AV6:AV13">
    <cfRule type="cellIs" dxfId="5" priority="4" operator="equal">
      <formula>0</formula>
    </cfRule>
  </conditionalFormatting>
  <conditionalFormatting sqref="AU7">
    <cfRule type="cellIs" dxfId="4" priority="3" operator="equal">
      <formula>0</formula>
    </cfRule>
  </conditionalFormatting>
  <conditionalFormatting sqref="AU8">
    <cfRule type="cellIs" dxfId="3" priority="2" operator="equal">
      <formula>0</formula>
    </cfRule>
  </conditionalFormatting>
  <conditionalFormatting sqref="AZ11">
    <cfRule type="cellIs" dxfId="2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0"/>
  <sheetViews>
    <sheetView showZeros="0" rightToLeft="1" tabSelected="1" workbookViewId="0">
      <selection activeCell="M31" sqref="M31"/>
    </sheetView>
  </sheetViews>
  <sheetFormatPr defaultColWidth="9.109375" defaultRowHeight="13.8"/>
  <cols>
    <col min="1" max="3" width="4.109375" style="81" customWidth="1"/>
    <col min="4" max="4" width="33" style="81" customWidth="1"/>
    <col min="5" max="9" width="12.109375" style="81" customWidth="1"/>
    <col min="10" max="10" width="7.88671875" style="81" customWidth="1"/>
    <col min="11" max="16384" width="9.109375" style="81"/>
  </cols>
  <sheetData>
    <row r="3" spans="1:17" ht="21">
      <c r="E3" s="82"/>
    </row>
    <row r="4" spans="1:17" s="92" customFormat="1" ht="18">
      <c r="A4" s="90" t="s">
        <v>178</v>
      </c>
      <c r="C4" s="91" t="s">
        <v>946</v>
      </c>
    </row>
    <row r="5" spans="1:17" ht="15.6">
      <c r="A5" s="83"/>
      <c r="C5" s="84"/>
      <c r="G5" s="84" t="s">
        <v>167</v>
      </c>
    </row>
    <row r="6" spans="1:17" ht="16.2" thickBot="1">
      <c r="A6" s="83"/>
      <c r="C6" s="84"/>
    </row>
    <row r="7" spans="1:17" ht="16.2" thickBot="1">
      <c r="A7" s="83">
        <v>3.1</v>
      </c>
      <c r="C7" s="83" t="s">
        <v>177</v>
      </c>
      <c r="D7" s="83"/>
      <c r="E7" s="83"/>
      <c r="F7" s="83"/>
      <c r="G7" s="424">
        <v>466170.20299999998</v>
      </c>
    </row>
    <row r="8" spans="1:17" ht="16.2" thickBot="1">
      <c r="A8" s="83"/>
      <c r="C8" s="83"/>
      <c r="D8" s="83"/>
      <c r="E8" s="83"/>
      <c r="F8" s="83"/>
      <c r="G8" s="87"/>
    </row>
    <row r="9" spans="1:17" ht="16.2" thickBot="1">
      <c r="A9" s="83"/>
      <c r="C9" s="83" t="s">
        <v>1244</v>
      </c>
      <c r="D9" s="83"/>
      <c r="E9" s="83"/>
      <c r="F9" s="83"/>
      <c r="G9" s="424">
        <v>511425.81599999999</v>
      </c>
      <c r="I9" s="83"/>
      <c r="J9" s="83"/>
      <c r="K9" s="83"/>
      <c r="L9" s="83"/>
    </row>
    <row r="10" spans="1:17" ht="16.2" thickBot="1">
      <c r="A10" s="83"/>
      <c r="C10" s="83"/>
      <c r="D10" s="83"/>
      <c r="E10" s="83"/>
      <c r="F10" s="83"/>
      <c r="G10" s="87"/>
      <c r="I10" s="83"/>
      <c r="J10" s="83"/>
      <c r="K10" s="83"/>
      <c r="L10" s="83"/>
    </row>
    <row r="11" spans="1:17" ht="16.2" thickBot="1">
      <c r="A11" s="83"/>
      <c r="C11" s="83" t="s">
        <v>168</v>
      </c>
      <c r="D11" s="83"/>
      <c r="E11" s="83"/>
      <c r="F11" s="83"/>
      <c r="G11" s="424">
        <v>5214185.767</v>
      </c>
      <c r="I11" s="83"/>
      <c r="J11" s="83"/>
      <c r="K11" s="83"/>
      <c r="L11" s="83"/>
      <c r="O11" s="83"/>
      <c r="P11" s="83"/>
      <c r="Q11" s="83"/>
    </row>
    <row r="12" spans="1:17" ht="15.6">
      <c r="A12" s="83"/>
      <c r="C12" s="83"/>
      <c r="D12" s="83"/>
      <c r="E12" s="83"/>
      <c r="F12" s="83"/>
      <c r="G12" s="101"/>
      <c r="I12" s="83"/>
      <c r="J12" s="83"/>
      <c r="K12" s="83"/>
      <c r="L12" s="83"/>
      <c r="O12" s="83"/>
      <c r="P12" s="83"/>
      <c r="Q12" s="83"/>
    </row>
    <row r="13" spans="1:17" ht="15.6">
      <c r="A13" s="83"/>
      <c r="C13" s="83"/>
      <c r="D13" s="83"/>
      <c r="E13" s="83"/>
      <c r="F13" s="83"/>
      <c r="G13" s="101"/>
      <c r="I13" s="83"/>
      <c r="J13" s="83"/>
      <c r="K13" s="83"/>
      <c r="L13" s="83"/>
      <c r="O13" s="83"/>
      <c r="P13" s="83"/>
      <c r="Q13" s="83"/>
    </row>
    <row r="14" spans="1:17" ht="15.6">
      <c r="A14" s="83"/>
      <c r="C14" s="83"/>
      <c r="D14" s="183"/>
      <c r="E14" s="83"/>
      <c r="F14" s="83"/>
      <c r="G14" s="83"/>
      <c r="H14" s="83"/>
      <c r="I14" s="83"/>
      <c r="J14" s="83"/>
      <c r="K14" s="83"/>
      <c r="L14" s="83"/>
      <c r="O14" s="83"/>
      <c r="P14" s="83"/>
      <c r="Q14" s="83"/>
    </row>
    <row r="15" spans="1:17" ht="15.6">
      <c r="A15" s="83">
        <v>3.2</v>
      </c>
      <c r="C15" s="83" t="s">
        <v>1461</v>
      </c>
      <c r="D15" s="83"/>
      <c r="E15" s="393"/>
      <c r="F15" s="83"/>
      <c r="G15" s="83"/>
      <c r="H15" s="83"/>
      <c r="I15" s="83"/>
      <c r="J15" s="83"/>
      <c r="K15" s="83"/>
      <c r="L15" s="83"/>
      <c r="O15" s="83"/>
      <c r="P15" s="83"/>
      <c r="Q15" s="83"/>
    </row>
    <row r="16" spans="1:17" ht="15.6">
      <c r="A16" s="83"/>
      <c r="B16" s="86" t="s">
        <v>136</v>
      </c>
      <c r="C16" s="83" t="s">
        <v>853</v>
      </c>
      <c r="D16" s="83"/>
      <c r="E16" s="83"/>
      <c r="F16" s="83"/>
      <c r="G16" s="83"/>
      <c r="H16" s="83"/>
      <c r="I16" s="83"/>
      <c r="J16" s="83"/>
      <c r="K16" s="83"/>
      <c r="L16" s="83"/>
      <c r="O16" s="83"/>
      <c r="P16" s="83"/>
      <c r="Q16" s="83"/>
    </row>
    <row r="17" spans="1:17" ht="15.6">
      <c r="A17" s="83"/>
      <c r="B17" s="86" t="s">
        <v>136</v>
      </c>
      <c r="C17" s="83" t="s">
        <v>609</v>
      </c>
      <c r="D17" s="83"/>
      <c r="E17" s="83"/>
      <c r="F17" s="83"/>
      <c r="G17" s="83"/>
      <c r="H17" s="83"/>
      <c r="I17" s="83"/>
      <c r="J17" s="83"/>
      <c r="K17" s="83"/>
      <c r="L17" s="83"/>
      <c r="O17" s="83"/>
      <c r="P17" s="83"/>
      <c r="Q17" s="83"/>
    </row>
    <row r="18" spans="1:17" ht="15.6">
      <c r="A18" s="83"/>
      <c r="B18" s="86" t="s">
        <v>136</v>
      </c>
      <c r="C18" s="83" t="s">
        <v>851</v>
      </c>
      <c r="D18" s="83"/>
      <c r="E18" s="83"/>
      <c r="F18" s="83"/>
      <c r="G18" s="83"/>
      <c r="H18" s="83"/>
      <c r="I18" s="83"/>
      <c r="J18" s="83"/>
      <c r="K18" s="83"/>
      <c r="L18" s="83"/>
      <c r="O18" s="83"/>
      <c r="P18" s="83"/>
      <c r="Q18" s="83"/>
    </row>
    <row r="19" spans="1:17" ht="15.6">
      <c r="B19" s="86" t="s">
        <v>136</v>
      </c>
      <c r="C19" s="83" t="s">
        <v>852</v>
      </c>
    </row>
    <row r="20" spans="1:17" ht="15.6">
      <c r="A20" s="83"/>
      <c r="B20" s="86" t="s">
        <v>136</v>
      </c>
      <c r="C20" s="83" t="s">
        <v>1350</v>
      </c>
      <c r="D20" s="83"/>
      <c r="E20" s="83"/>
      <c r="F20" s="83"/>
      <c r="G20" s="83"/>
      <c r="H20" s="83"/>
      <c r="I20" s="83"/>
      <c r="J20" s="83"/>
      <c r="K20" s="83"/>
      <c r="L20" s="83"/>
      <c r="O20" s="83"/>
      <c r="P20" s="83"/>
      <c r="Q20" s="83"/>
    </row>
    <row r="21" spans="1:17" ht="15.6">
      <c r="A21" s="83"/>
      <c r="B21" s="86" t="s">
        <v>136</v>
      </c>
      <c r="C21" s="83" t="s">
        <v>1382</v>
      </c>
      <c r="D21" s="83"/>
      <c r="E21" s="83"/>
      <c r="F21" s="83"/>
      <c r="G21" s="83"/>
      <c r="H21" s="83"/>
      <c r="I21" s="83"/>
      <c r="J21" s="83"/>
      <c r="K21" s="83"/>
      <c r="L21" s="83"/>
      <c r="O21" s="83"/>
      <c r="P21" s="83"/>
      <c r="Q21" s="83"/>
    </row>
    <row r="22" spans="1:17" ht="15.6">
      <c r="A22" s="83"/>
      <c r="B22" s="86" t="s">
        <v>136</v>
      </c>
      <c r="C22" s="83" t="s">
        <v>475</v>
      </c>
      <c r="D22" s="83"/>
      <c r="E22" s="83"/>
      <c r="F22" s="83"/>
      <c r="G22" s="83"/>
      <c r="H22" s="83"/>
      <c r="I22" s="83"/>
      <c r="J22" s="83"/>
      <c r="K22" s="83"/>
      <c r="L22" s="83"/>
      <c r="O22" s="83"/>
      <c r="P22" s="83"/>
      <c r="Q22" s="83"/>
    </row>
    <row r="23" spans="1:17" ht="15.6">
      <c r="A23" s="83"/>
      <c r="B23" s="86" t="s">
        <v>136</v>
      </c>
      <c r="C23" s="83" t="s">
        <v>854</v>
      </c>
      <c r="D23" s="83"/>
      <c r="E23" s="83"/>
      <c r="F23" s="83"/>
      <c r="G23" s="83"/>
      <c r="H23" s="83"/>
      <c r="I23" s="83"/>
      <c r="J23" s="83"/>
      <c r="K23" s="83"/>
      <c r="L23" s="83"/>
      <c r="O23" s="83"/>
      <c r="P23" s="83"/>
      <c r="Q23" s="83"/>
    </row>
    <row r="24" spans="1:17" ht="15.6">
      <c r="A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O24" s="83"/>
      <c r="P24" s="83"/>
      <c r="Q24" s="83"/>
    </row>
    <row r="25" spans="1:17" ht="15.6">
      <c r="A25" s="83"/>
      <c r="N25" s="83"/>
      <c r="O25" s="83"/>
      <c r="P25" s="83"/>
      <c r="Q25" s="83"/>
    </row>
    <row r="26" spans="1:17" ht="15.6">
      <c r="A26" s="83"/>
      <c r="N26" s="83"/>
      <c r="O26" s="83"/>
      <c r="P26" s="83"/>
      <c r="Q26" s="83"/>
    </row>
    <row r="27" spans="1:17" ht="22.8">
      <c r="A27" s="83"/>
      <c r="B27" s="89"/>
      <c r="C27" s="89"/>
      <c r="D27" s="25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  <row r="28" spans="1:17" ht="15.6">
      <c r="A28" s="89"/>
      <c r="B28" s="89"/>
      <c r="C28" s="89"/>
      <c r="D28" s="89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7" ht="15.6"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7" ht="15.6"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"/>
  <sheetViews>
    <sheetView showZeros="0" rightToLeft="1" tabSelected="1" zoomScaleNormal="100" workbookViewId="0">
      <pane xSplit="3" ySplit="4" topLeftCell="D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8.88671875" defaultRowHeight="13.8"/>
  <cols>
    <col min="1" max="1" width="5.77734375" style="146" customWidth="1"/>
    <col min="2" max="2" width="5.77734375" style="145" customWidth="1"/>
    <col min="3" max="3" width="32.77734375" style="145" customWidth="1"/>
    <col min="4" max="6" width="10.109375" style="149" hidden="1" customWidth="1"/>
    <col min="7" max="8" width="9.88671875" style="149" hidden="1" customWidth="1"/>
    <col min="9" max="10" width="9.44140625" style="149" hidden="1" customWidth="1"/>
    <col min="11" max="15" width="10.109375" style="149" hidden="1" customWidth="1"/>
    <col min="16" max="16" width="9.88671875" style="149" hidden="1" customWidth="1"/>
    <col min="17" max="19" width="9.44140625" style="149" hidden="1" customWidth="1"/>
    <col min="20" max="20" width="12.77734375" style="149" customWidth="1"/>
    <col min="21" max="23" width="12.77734375" style="145" customWidth="1"/>
    <col min="24" max="26" width="9.88671875" style="145" hidden="1" customWidth="1"/>
    <col min="27" max="27" width="12.77734375" style="145" customWidth="1"/>
    <col min="28" max="28" width="31.6640625" style="145" hidden="1" customWidth="1"/>
    <col min="29" max="29" width="7.6640625" style="145" hidden="1" customWidth="1"/>
    <col min="30" max="38" width="13.6640625" style="145" hidden="1" customWidth="1"/>
    <col min="39" max="42" width="12.77734375" style="145" customWidth="1"/>
    <col min="43" max="45" width="13.6640625" style="145" hidden="1" customWidth="1"/>
    <col min="46" max="46" width="12.77734375" style="145" customWidth="1"/>
    <col min="47" max="52" width="13.6640625" style="145" hidden="1" customWidth="1"/>
    <col min="53" max="16384" width="8.88671875" style="145"/>
  </cols>
  <sheetData>
    <row r="1" spans="1:52" s="164" customFormat="1" ht="18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spans="1:52" ht="18">
      <c r="A2" s="180" t="s">
        <v>1454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1:52" ht="36" customHeight="1">
      <c r="T3" s="622" t="s">
        <v>1426</v>
      </c>
      <c r="U3" s="622"/>
      <c r="V3" s="644" t="s">
        <v>83</v>
      </c>
      <c r="W3" s="645"/>
      <c r="X3" s="645"/>
      <c r="Y3" s="645"/>
      <c r="Z3" s="645"/>
      <c r="AA3" s="646"/>
      <c r="AD3" s="644" t="s">
        <v>207</v>
      </c>
      <c r="AE3" s="645"/>
      <c r="AF3" s="645"/>
      <c r="AG3" s="645"/>
      <c r="AH3" s="645"/>
      <c r="AI3" s="645"/>
      <c r="AJ3" s="645"/>
      <c r="AK3" s="645"/>
      <c r="AL3" s="645"/>
      <c r="AM3" s="645"/>
      <c r="AN3" s="646"/>
      <c r="AO3" s="647" t="s">
        <v>1164</v>
      </c>
      <c r="AP3" s="648"/>
      <c r="AQ3" s="648"/>
      <c r="AR3" s="648"/>
      <c r="AS3" s="648"/>
      <c r="AT3" s="649"/>
      <c r="AU3" s="622" t="s">
        <v>953</v>
      </c>
      <c r="AV3" s="622"/>
      <c r="AW3" s="622"/>
      <c r="AX3" s="622"/>
      <c r="AY3" s="622"/>
      <c r="AZ3" s="622"/>
    </row>
    <row r="4" spans="1:52" s="165" customFormat="1" ht="60" customHeight="1">
      <c r="A4" s="144" t="s">
        <v>0</v>
      </c>
      <c r="B4" s="144" t="s">
        <v>1</v>
      </c>
      <c r="C4" s="144" t="s">
        <v>2</v>
      </c>
      <c r="D4" s="144" t="s">
        <v>3</v>
      </c>
      <c r="E4" s="144" t="s">
        <v>4</v>
      </c>
      <c r="F4" s="144" t="s">
        <v>5</v>
      </c>
      <c r="G4" s="144" t="s">
        <v>6</v>
      </c>
      <c r="H4" s="144" t="s">
        <v>7</v>
      </c>
      <c r="I4" s="144" t="s">
        <v>9</v>
      </c>
      <c r="J4" s="144" t="s">
        <v>132</v>
      </c>
      <c r="K4" s="144" t="s">
        <v>10</v>
      </c>
      <c r="L4" s="144" t="s">
        <v>11</v>
      </c>
      <c r="M4" s="9" t="s">
        <v>658</v>
      </c>
      <c r="N4" s="9" t="s">
        <v>659</v>
      </c>
      <c r="O4" s="9" t="s">
        <v>660</v>
      </c>
      <c r="P4" s="9" t="s">
        <v>12</v>
      </c>
      <c r="Q4" s="9" t="s">
        <v>661</v>
      </c>
      <c r="R4" s="9" t="s">
        <v>662</v>
      </c>
      <c r="S4" s="9" t="s">
        <v>663</v>
      </c>
      <c r="T4" s="9" t="s">
        <v>664</v>
      </c>
      <c r="U4" s="9" t="s">
        <v>665</v>
      </c>
      <c r="V4" s="144" t="s">
        <v>13</v>
      </c>
      <c r="W4" s="144" t="s">
        <v>14</v>
      </c>
      <c r="X4" s="144" t="s">
        <v>15</v>
      </c>
      <c r="Y4" s="144" t="s">
        <v>225</v>
      </c>
      <c r="Z4" s="144" t="s">
        <v>575</v>
      </c>
      <c r="AA4" s="144" t="s">
        <v>79</v>
      </c>
      <c r="AB4" s="531" t="s">
        <v>257</v>
      </c>
      <c r="AC4" s="144" t="s">
        <v>16</v>
      </c>
      <c r="AD4" s="481" t="s">
        <v>954</v>
      </c>
      <c r="AE4" s="481" t="s">
        <v>955</v>
      </c>
      <c r="AF4" s="481" t="s">
        <v>956</v>
      </c>
      <c r="AG4" s="481" t="s">
        <v>957</v>
      </c>
      <c r="AH4" s="481" t="s">
        <v>958</v>
      </c>
      <c r="AI4" s="481" t="s">
        <v>959</v>
      </c>
      <c r="AJ4" s="481" t="s">
        <v>960</v>
      </c>
      <c r="AK4" s="481" t="s">
        <v>961</v>
      </c>
      <c r="AL4" s="481" t="s">
        <v>962</v>
      </c>
      <c r="AM4" s="19" t="s">
        <v>1046</v>
      </c>
      <c r="AN4" s="19" t="s">
        <v>635</v>
      </c>
      <c r="AO4" s="167" t="s">
        <v>13</v>
      </c>
      <c r="AP4" s="167" t="s">
        <v>14</v>
      </c>
      <c r="AQ4" s="167" t="s">
        <v>15</v>
      </c>
      <c r="AR4" s="167" t="s">
        <v>225</v>
      </c>
      <c r="AS4" s="167" t="s">
        <v>575</v>
      </c>
      <c r="AT4" s="15" t="s">
        <v>79</v>
      </c>
      <c r="AU4" s="167" t="s">
        <v>13</v>
      </c>
      <c r="AV4" s="167" t="s">
        <v>14</v>
      </c>
      <c r="AW4" s="167" t="s">
        <v>15</v>
      </c>
      <c r="AX4" s="167" t="s">
        <v>225</v>
      </c>
      <c r="AY4" s="167" t="s">
        <v>575</v>
      </c>
      <c r="AZ4" s="15" t="s">
        <v>79</v>
      </c>
    </row>
    <row r="5" spans="1:52" s="151" customFormat="1" ht="30" customHeight="1">
      <c r="A5" s="152">
        <v>1</v>
      </c>
      <c r="B5" s="153">
        <v>470</v>
      </c>
      <c r="C5" s="152" t="s">
        <v>62</v>
      </c>
      <c r="D5" s="133">
        <v>2130000</v>
      </c>
      <c r="E5" s="133">
        <v>2130000</v>
      </c>
      <c r="F5" s="133">
        <f t="shared" ref="F5:F14" si="0">D5-E5</f>
        <v>0</v>
      </c>
      <c r="G5" s="133">
        <v>1830000</v>
      </c>
      <c r="H5" s="133">
        <v>1737007</v>
      </c>
      <c r="I5" s="133">
        <v>0</v>
      </c>
      <c r="J5" s="133">
        <v>0</v>
      </c>
      <c r="K5" s="133">
        <f>SUM(I5:J5)</f>
        <v>0</v>
      </c>
      <c r="L5" s="133">
        <f t="shared" ref="L5:L16" si="1">H5+K5</f>
        <v>1737007</v>
      </c>
      <c r="M5" s="133">
        <f>P5+S5-90000</f>
        <v>2993</v>
      </c>
      <c r="N5" s="133">
        <v>90000</v>
      </c>
      <c r="O5" s="133">
        <f t="shared" ref="O5:O16" si="2">D5-L5-M5-N5</f>
        <v>300000</v>
      </c>
      <c r="P5" s="133">
        <f t="shared" ref="P5:P16" si="3">G5-L5</f>
        <v>92993</v>
      </c>
      <c r="Q5" s="133"/>
      <c r="R5" s="133"/>
      <c r="S5" s="133">
        <f t="shared" ref="S5:S16" si="4">SUM(Q5:R5)</f>
        <v>0</v>
      </c>
      <c r="T5" s="133">
        <v>90000</v>
      </c>
      <c r="U5" s="133">
        <v>0</v>
      </c>
      <c r="V5" s="133">
        <v>0</v>
      </c>
      <c r="W5" s="133"/>
      <c r="X5" s="133"/>
      <c r="Y5" s="133"/>
      <c r="Z5" s="133"/>
      <c r="AA5" s="152"/>
      <c r="AB5" s="325" t="s">
        <v>310</v>
      </c>
      <c r="AC5" s="152">
        <v>935000</v>
      </c>
      <c r="AD5" s="133"/>
      <c r="AE5" s="133"/>
      <c r="AF5" s="133"/>
      <c r="AG5" s="133"/>
      <c r="AH5" s="133"/>
      <c r="AI5" s="133"/>
      <c r="AJ5" s="133"/>
      <c r="AK5" s="133"/>
      <c r="AL5" s="133"/>
      <c r="AM5" s="133">
        <v>0</v>
      </c>
      <c r="AN5" s="133">
        <v>0</v>
      </c>
      <c r="AO5" s="133">
        <v>0</v>
      </c>
      <c r="AP5" s="152"/>
      <c r="AQ5" s="152"/>
      <c r="AR5" s="152"/>
      <c r="AS5" s="152"/>
      <c r="AT5" s="152"/>
      <c r="AU5" s="133">
        <f>AL5</f>
        <v>0</v>
      </c>
      <c r="AV5" s="152"/>
      <c r="AW5" s="152"/>
      <c r="AX5" s="152"/>
      <c r="AY5" s="152"/>
      <c r="AZ5" s="152"/>
    </row>
    <row r="6" spans="1:52" s="151" customFormat="1" ht="30" customHeight="1">
      <c r="A6" s="152">
        <f>A5+1</f>
        <v>2</v>
      </c>
      <c r="B6" s="153">
        <v>1066</v>
      </c>
      <c r="C6" s="152" t="s">
        <v>63</v>
      </c>
      <c r="D6" s="133">
        <v>75000</v>
      </c>
      <c r="E6" s="133">
        <v>75000</v>
      </c>
      <c r="F6" s="133">
        <f t="shared" si="0"/>
        <v>0</v>
      </c>
      <c r="G6" s="133">
        <v>75000</v>
      </c>
      <c r="H6" s="133">
        <v>40172</v>
      </c>
      <c r="I6" s="133">
        <v>0</v>
      </c>
      <c r="J6" s="133">
        <v>0</v>
      </c>
      <c r="K6" s="133">
        <f t="shared" ref="K6:K16" si="5">SUM(I6:J6)</f>
        <v>0</v>
      </c>
      <c r="L6" s="133">
        <f t="shared" si="1"/>
        <v>40172</v>
      </c>
      <c r="M6" s="133">
        <f>P6+S6-30000</f>
        <v>4828</v>
      </c>
      <c r="N6" s="133">
        <v>30000</v>
      </c>
      <c r="O6" s="133">
        <f t="shared" si="2"/>
        <v>0</v>
      </c>
      <c r="P6" s="133">
        <f t="shared" si="3"/>
        <v>34828</v>
      </c>
      <c r="Q6" s="133"/>
      <c r="R6" s="133"/>
      <c r="S6" s="133">
        <f t="shared" si="4"/>
        <v>0</v>
      </c>
      <c r="T6" s="133">
        <v>30000</v>
      </c>
      <c r="U6" s="133">
        <v>0</v>
      </c>
      <c r="V6" s="133">
        <v>0</v>
      </c>
      <c r="W6" s="133"/>
      <c r="X6" s="133"/>
      <c r="Y6" s="133"/>
      <c r="Z6" s="133"/>
      <c r="AA6" s="152"/>
      <c r="AB6" s="326" t="s">
        <v>330</v>
      </c>
      <c r="AC6" s="152">
        <v>935000</v>
      </c>
      <c r="AD6" s="133"/>
      <c r="AE6" s="133"/>
      <c r="AF6" s="133"/>
      <c r="AG6" s="133"/>
      <c r="AH6" s="133"/>
      <c r="AI6" s="133"/>
      <c r="AJ6" s="133"/>
      <c r="AK6" s="133"/>
      <c r="AL6" s="133"/>
      <c r="AM6" s="133">
        <v>0</v>
      </c>
      <c r="AN6" s="133">
        <v>0</v>
      </c>
      <c r="AO6" s="133">
        <v>0</v>
      </c>
      <c r="AP6" s="152"/>
      <c r="AQ6" s="152"/>
      <c r="AR6" s="152"/>
      <c r="AS6" s="152"/>
      <c r="AT6" s="152"/>
      <c r="AU6" s="133">
        <f t="shared" ref="AU6:AU16" si="6">AL6</f>
        <v>0</v>
      </c>
      <c r="AV6" s="152"/>
      <c r="AW6" s="152"/>
      <c r="AX6" s="152"/>
      <c r="AY6" s="152"/>
      <c r="AZ6" s="152"/>
    </row>
    <row r="7" spans="1:52" s="151" customFormat="1" ht="30" customHeight="1">
      <c r="A7" s="152">
        <f t="shared" ref="A7:A16" si="7">A6+1</f>
        <v>3</v>
      </c>
      <c r="B7" s="153">
        <v>1177</v>
      </c>
      <c r="C7" s="152" t="s">
        <v>64</v>
      </c>
      <c r="D7" s="133">
        <v>41850000</v>
      </c>
      <c r="E7" s="133">
        <v>41850000</v>
      </c>
      <c r="F7" s="133">
        <f t="shared" si="0"/>
        <v>0</v>
      </c>
      <c r="G7" s="133">
        <v>28957000</v>
      </c>
      <c r="H7" s="133">
        <v>26727455</v>
      </c>
      <c r="I7" s="133">
        <v>0</v>
      </c>
      <c r="J7" s="133">
        <v>0</v>
      </c>
      <c r="K7" s="133">
        <f t="shared" si="5"/>
        <v>0</v>
      </c>
      <c r="L7" s="133">
        <f t="shared" si="1"/>
        <v>26727455</v>
      </c>
      <c r="M7" s="133">
        <f>P7+S7-2200000</f>
        <v>29545</v>
      </c>
      <c r="N7" s="133">
        <v>2200000</v>
      </c>
      <c r="O7" s="133">
        <f t="shared" si="2"/>
        <v>12893000</v>
      </c>
      <c r="P7" s="133">
        <f t="shared" si="3"/>
        <v>2229545</v>
      </c>
      <c r="Q7" s="133"/>
      <c r="R7" s="133"/>
      <c r="S7" s="133">
        <f t="shared" si="4"/>
        <v>0</v>
      </c>
      <c r="T7" s="133">
        <v>2200000</v>
      </c>
      <c r="U7" s="133">
        <v>0</v>
      </c>
      <c r="V7" s="133">
        <v>0</v>
      </c>
      <c r="W7" s="133"/>
      <c r="X7" s="133"/>
      <c r="Y7" s="133"/>
      <c r="Z7" s="133"/>
      <c r="AA7" s="152"/>
      <c r="AB7" s="326" t="s">
        <v>331</v>
      </c>
      <c r="AC7" s="152">
        <v>930000</v>
      </c>
      <c r="AD7" s="133"/>
      <c r="AE7" s="133"/>
      <c r="AF7" s="133"/>
      <c r="AG7" s="133"/>
      <c r="AH7" s="133"/>
      <c r="AI7" s="133"/>
      <c r="AJ7" s="133"/>
      <c r="AK7" s="133"/>
      <c r="AL7" s="133"/>
      <c r="AM7" s="133">
        <v>0</v>
      </c>
      <c r="AN7" s="133">
        <v>0</v>
      </c>
      <c r="AO7" s="133">
        <v>0</v>
      </c>
      <c r="AP7" s="152"/>
      <c r="AQ7" s="152"/>
      <c r="AR7" s="152"/>
      <c r="AS7" s="152"/>
      <c r="AT7" s="152"/>
      <c r="AU7" s="133">
        <f t="shared" si="6"/>
        <v>0</v>
      </c>
      <c r="AV7" s="152"/>
      <c r="AW7" s="152"/>
      <c r="AX7" s="152"/>
      <c r="AY7" s="152"/>
      <c r="AZ7" s="152"/>
    </row>
    <row r="8" spans="1:52" s="151" customFormat="1" ht="30" customHeight="1">
      <c r="A8" s="152">
        <f t="shared" si="7"/>
        <v>4</v>
      </c>
      <c r="B8" s="153">
        <v>1258</v>
      </c>
      <c r="C8" s="152" t="s">
        <v>65</v>
      </c>
      <c r="D8" s="133">
        <v>1400000</v>
      </c>
      <c r="E8" s="133">
        <v>1400000</v>
      </c>
      <c r="F8" s="133">
        <f t="shared" si="0"/>
        <v>0</v>
      </c>
      <c r="G8" s="133">
        <v>950000</v>
      </c>
      <c r="H8" s="133">
        <v>894110</v>
      </c>
      <c r="I8" s="133">
        <v>0</v>
      </c>
      <c r="J8" s="133">
        <v>0</v>
      </c>
      <c r="K8" s="133">
        <f t="shared" si="5"/>
        <v>0</v>
      </c>
      <c r="L8" s="133">
        <f t="shared" si="1"/>
        <v>894110</v>
      </c>
      <c r="M8" s="133">
        <f>P8+S8</f>
        <v>55890</v>
      </c>
      <c r="N8" s="133">
        <v>350000</v>
      </c>
      <c r="O8" s="133">
        <f t="shared" si="2"/>
        <v>100000</v>
      </c>
      <c r="P8" s="133">
        <f t="shared" si="3"/>
        <v>55890</v>
      </c>
      <c r="Q8" s="133"/>
      <c r="R8" s="133"/>
      <c r="S8" s="133">
        <f t="shared" si="4"/>
        <v>0</v>
      </c>
      <c r="T8" s="133">
        <v>0</v>
      </c>
      <c r="U8" s="133">
        <v>350000</v>
      </c>
      <c r="V8" s="133">
        <v>350000</v>
      </c>
      <c r="W8" s="133"/>
      <c r="X8" s="133"/>
      <c r="Y8" s="133"/>
      <c r="Z8" s="133"/>
      <c r="AA8" s="152"/>
      <c r="AB8" s="327" t="s">
        <v>254</v>
      </c>
      <c r="AC8" s="152">
        <v>930000</v>
      </c>
      <c r="AD8" s="133"/>
      <c r="AE8" s="133"/>
      <c r="AF8" s="133"/>
      <c r="AG8" s="133"/>
      <c r="AH8" s="133"/>
      <c r="AI8" s="133"/>
      <c r="AJ8" s="133">
        <v>50000</v>
      </c>
      <c r="AK8" s="133"/>
      <c r="AL8" s="133">
        <v>300000</v>
      </c>
      <c r="AM8" s="133">
        <v>350000</v>
      </c>
      <c r="AN8" s="133">
        <v>0</v>
      </c>
      <c r="AO8" s="133">
        <v>350000</v>
      </c>
      <c r="AP8" s="152"/>
      <c r="AQ8" s="152"/>
      <c r="AR8" s="152"/>
      <c r="AS8" s="152"/>
      <c r="AT8" s="152"/>
      <c r="AU8" s="133">
        <f t="shared" si="6"/>
        <v>300000</v>
      </c>
      <c r="AV8" s="152"/>
      <c r="AW8" s="152"/>
      <c r="AX8" s="152"/>
      <c r="AY8" s="152"/>
      <c r="AZ8" s="152"/>
    </row>
    <row r="9" spans="1:52" s="151" customFormat="1" ht="30" customHeight="1">
      <c r="A9" s="152">
        <f t="shared" si="7"/>
        <v>5</v>
      </c>
      <c r="B9" s="153">
        <v>1330</v>
      </c>
      <c r="C9" s="152" t="s">
        <v>66</v>
      </c>
      <c r="D9" s="133">
        <v>60700000</v>
      </c>
      <c r="E9" s="133">
        <v>60700000</v>
      </c>
      <c r="F9" s="133">
        <f t="shared" si="0"/>
        <v>0</v>
      </c>
      <c r="G9" s="133">
        <v>17249825</v>
      </c>
      <c r="H9" s="133">
        <v>7567471</v>
      </c>
      <c r="I9" s="133">
        <v>0</v>
      </c>
      <c r="J9" s="133">
        <v>0</v>
      </c>
      <c r="K9" s="133">
        <f t="shared" si="5"/>
        <v>0</v>
      </c>
      <c r="L9" s="133">
        <f t="shared" si="1"/>
        <v>7567471</v>
      </c>
      <c r="M9" s="133">
        <f>P9+S9-9600000</f>
        <v>82354</v>
      </c>
      <c r="N9" s="133">
        <v>9600000</v>
      </c>
      <c r="O9" s="133">
        <f t="shared" si="2"/>
        <v>43450175</v>
      </c>
      <c r="P9" s="133">
        <f t="shared" si="3"/>
        <v>9682354</v>
      </c>
      <c r="Q9" s="133"/>
      <c r="R9" s="133"/>
      <c r="S9" s="133">
        <f t="shared" si="4"/>
        <v>0</v>
      </c>
      <c r="T9" s="133">
        <v>9600000</v>
      </c>
      <c r="U9" s="133">
        <v>0</v>
      </c>
      <c r="V9" s="133">
        <v>0</v>
      </c>
      <c r="W9" s="133"/>
      <c r="X9" s="133"/>
      <c r="Y9" s="133"/>
      <c r="Z9" s="133"/>
      <c r="AA9" s="152"/>
      <c r="AB9" s="326" t="s">
        <v>332</v>
      </c>
      <c r="AC9" s="152">
        <v>930000</v>
      </c>
      <c r="AD9" s="133"/>
      <c r="AE9" s="133"/>
      <c r="AF9" s="133"/>
      <c r="AG9" s="133"/>
      <c r="AH9" s="133"/>
      <c r="AI9" s="133"/>
      <c r="AJ9" s="133"/>
      <c r="AK9" s="133"/>
      <c r="AL9" s="133"/>
      <c r="AM9" s="133">
        <v>0</v>
      </c>
      <c r="AN9" s="133">
        <v>0</v>
      </c>
      <c r="AO9" s="133">
        <v>0</v>
      </c>
      <c r="AP9" s="152"/>
      <c r="AQ9" s="152"/>
      <c r="AR9" s="152"/>
      <c r="AS9" s="152"/>
      <c r="AT9" s="152"/>
      <c r="AU9" s="133">
        <f t="shared" si="6"/>
        <v>0</v>
      </c>
      <c r="AV9" s="152"/>
      <c r="AW9" s="152"/>
      <c r="AX9" s="152"/>
      <c r="AY9" s="152"/>
      <c r="AZ9" s="152"/>
    </row>
    <row r="10" spans="1:52" s="151" customFormat="1" ht="30" customHeight="1">
      <c r="A10" s="152">
        <f t="shared" si="7"/>
        <v>6</v>
      </c>
      <c r="B10" s="152">
        <v>1704</v>
      </c>
      <c r="C10" s="152" t="s">
        <v>67</v>
      </c>
      <c r="D10" s="133">
        <v>5784000</v>
      </c>
      <c r="E10" s="133">
        <v>5784000</v>
      </c>
      <c r="F10" s="133">
        <f t="shared" si="0"/>
        <v>0</v>
      </c>
      <c r="G10" s="133">
        <v>40000</v>
      </c>
      <c r="H10" s="133">
        <v>37961</v>
      </c>
      <c r="I10" s="133">
        <v>0</v>
      </c>
      <c r="J10" s="133">
        <v>0</v>
      </c>
      <c r="K10" s="133">
        <f t="shared" si="5"/>
        <v>0</v>
      </c>
      <c r="L10" s="133">
        <f t="shared" si="1"/>
        <v>37961</v>
      </c>
      <c r="M10" s="133">
        <f>P10+S10</f>
        <v>2039</v>
      </c>
      <c r="N10" s="133">
        <v>1540000</v>
      </c>
      <c r="O10" s="133">
        <f t="shared" si="2"/>
        <v>4204000</v>
      </c>
      <c r="P10" s="133">
        <f t="shared" si="3"/>
        <v>2039</v>
      </c>
      <c r="Q10" s="133"/>
      <c r="R10" s="133"/>
      <c r="S10" s="133">
        <f t="shared" si="4"/>
        <v>0</v>
      </c>
      <c r="T10" s="133">
        <v>0</v>
      </c>
      <c r="U10" s="133">
        <v>1540000</v>
      </c>
      <c r="V10" s="133">
        <v>1540000</v>
      </c>
      <c r="W10" s="133"/>
      <c r="X10" s="133"/>
      <c r="Y10" s="133"/>
      <c r="Z10" s="133"/>
      <c r="AA10" s="152"/>
      <c r="AB10" s="327" t="s">
        <v>311</v>
      </c>
      <c r="AC10" s="152">
        <v>930000</v>
      </c>
      <c r="AD10" s="133">
        <v>150000</v>
      </c>
      <c r="AE10" s="133">
        <v>100000</v>
      </c>
      <c r="AF10" s="133"/>
      <c r="AG10" s="133"/>
      <c r="AH10" s="133"/>
      <c r="AI10" s="133">
        <v>400000</v>
      </c>
      <c r="AJ10" s="133"/>
      <c r="AK10" s="133">
        <v>200000</v>
      </c>
      <c r="AL10" s="133">
        <v>690000</v>
      </c>
      <c r="AM10" s="133">
        <v>1540000</v>
      </c>
      <c r="AN10" s="133">
        <v>0</v>
      </c>
      <c r="AO10" s="133">
        <v>1540000</v>
      </c>
      <c r="AP10" s="152"/>
      <c r="AQ10" s="152"/>
      <c r="AR10" s="152"/>
      <c r="AS10" s="152"/>
      <c r="AT10" s="152"/>
      <c r="AU10" s="133">
        <f t="shared" si="6"/>
        <v>690000</v>
      </c>
      <c r="AV10" s="152"/>
      <c r="AW10" s="152"/>
      <c r="AX10" s="152"/>
      <c r="AY10" s="152"/>
      <c r="AZ10" s="152"/>
    </row>
    <row r="11" spans="1:52" s="5" customFormat="1" ht="30" customHeight="1">
      <c r="A11" s="152">
        <f t="shared" si="7"/>
        <v>7</v>
      </c>
      <c r="B11" s="3">
        <v>1805</v>
      </c>
      <c r="C11" s="3" t="s">
        <v>100</v>
      </c>
      <c r="D11" s="4">
        <v>2250000</v>
      </c>
      <c r="E11" s="4">
        <v>2250000</v>
      </c>
      <c r="F11" s="4">
        <f t="shared" si="0"/>
        <v>0</v>
      </c>
      <c r="G11" s="4">
        <v>2250000</v>
      </c>
      <c r="H11" s="4">
        <v>29019</v>
      </c>
      <c r="I11" s="4">
        <v>0</v>
      </c>
      <c r="J11" s="4">
        <v>12003</v>
      </c>
      <c r="K11" s="4">
        <f t="shared" si="5"/>
        <v>12003</v>
      </c>
      <c r="L11" s="4">
        <f t="shared" si="1"/>
        <v>41022</v>
      </c>
      <c r="M11" s="4">
        <f>P11+S11-2200000</f>
        <v>8978</v>
      </c>
      <c r="N11" s="4">
        <f>2200000-1200000-200000</f>
        <v>800000</v>
      </c>
      <c r="O11" s="4">
        <f>D11-L11-M11-N11</f>
        <v>1400000</v>
      </c>
      <c r="P11" s="4">
        <f>G11-L11</f>
        <v>2208978</v>
      </c>
      <c r="Q11" s="4"/>
      <c r="R11" s="4"/>
      <c r="S11" s="4">
        <f>SUM(Q11:R11)</f>
        <v>0</v>
      </c>
      <c r="T11" s="4">
        <v>2200000</v>
      </c>
      <c r="U11" s="4">
        <v>-1400000</v>
      </c>
      <c r="V11" s="4">
        <v>-1400000</v>
      </c>
      <c r="W11" s="4"/>
      <c r="X11" s="4"/>
      <c r="Y11" s="4"/>
      <c r="Z11" s="4"/>
      <c r="AA11" s="3"/>
      <c r="AB11" s="3" t="s">
        <v>417</v>
      </c>
      <c r="AC11" s="3">
        <v>742000</v>
      </c>
      <c r="AD11" s="3"/>
      <c r="AE11" s="3"/>
      <c r="AF11" s="3"/>
      <c r="AG11" s="133">
        <v>-1400000</v>
      </c>
      <c r="AH11" s="133"/>
      <c r="AI11" s="133"/>
      <c r="AJ11" s="133"/>
      <c r="AK11" s="133"/>
      <c r="AL11" s="133"/>
      <c r="AM11" s="133">
        <v>-1400000</v>
      </c>
      <c r="AN11" s="133">
        <v>0</v>
      </c>
      <c r="AO11" s="133">
        <v>-1400000</v>
      </c>
      <c r="AP11" s="3"/>
      <c r="AQ11" s="3"/>
      <c r="AR11" s="3"/>
      <c r="AS11" s="3"/>
      <c r="AT11" s="3"/>
      <c r="AU11" s="133">
        <f t="shared" si="6"/>
        <v>0</v>
      </c>
      <c r="AV11" s="3"/>
      <c r="AW11" s="3"/>
      <c r="AX11" s="3"/>
      <c r="AY11" s="3"/>
      <c r="AZ11" s="3"/>
    </row>
    <row r="12" spans="1:52" s="151" customFormat="1" ht="30" customHeight="1">
      <c r="A12" s="152">
        <f t="shared" si="7"/>
        <v>8</v>
      </c>
      <c r="B12" s="153">
        <v>1983</v>
      </c>
      <c r="C12" s="152" t="s">
        <v>127</v>
      </c>
      <c r="D12" s="133">
        <v>800000</v>
      </c>
      <c r="E12" s="133">
        <v>800000</v>
      </c>
      <c r="F12" s="133">
        <f t="shared" si="0"/>
        <v>0</v>
      </c>
      <c r="G12" s="133">
        <v>100000</v>
      </c>
      <c r="H12" s="133">
        <v>10249</v>
      </c>
      <c r="I12" s="133">
        <v>0</v>
      </c>
      <c r="J12" s="133">
        <v>0</v>
      </c>
      <c r="K12" s="133">
        <f t="shared" si="5"/>
        <v>0</v>
      </c>
      <c r="L12" s="133">
        <f t="shared" si="1"/>
        <v>10249</v>
      </c>
      <c r="M12" s="133">
        <f>P12+S12-80000</f>
        <v>9751</v>
      </c>
      <c r="N12" s="133">
        <v>80000</v>
      </c>
      <c r="O12" s="133">
        <f t="shared" si="2"/>
        <v>700000</v>
      </c>
      <c r="P12" s="133">
        <f t="shared" si="3"/>
        <v>89751</v>
      </c>
      <c r="Q12" s="133"/>
      <c r="R12" s="133"/>
      <c r="S12" s="133">
        <f t="shared" si="4"/>
        <v>0</v>
      </c>
      <c r="T12" s="133">
        <v>80000</v>
      </c>
      <c r="U12" s="133">
        <v>0</v>
      </c>
      <c r="V12" s="133">
        <v>0</v>
      </c>
      <c r="W12" s="133"/>
      <c r="X12" s="133"/>
      <c r="Y12" s="133"/>
      <c r="Z12" s="133"/>
      <c r="AA12" s="152"/>
      <c r="AB12" s="327" t="s">
        <v>255</v>
      </c>
      <c r="AC12" s="152">
        <v>930000</v>
      </c>
      <c r="AD12" s="133"/>
      <c r="AE12" s="133"/>
      <c r="AF12" s="133"/>
      <c r="AG12" s="133"/>
      <c r="AH12" s="133"/>
      <c r="AI12" s="133"/>
      <c r="AJ12" s="133"/>
      <c r="AK12" s="133"/>
      <c r="AL12" s="133"/>
      <c r="AM12" s="133">
        <v>0</v>
      </c>
      <c r="AN12" s="133">
        <v>0</v>
      </c>
      <c r="AO12" s="133">
        <v>0</v>
      </c>
      <c r="AP12" s="152"/>
      <c r="AQ12" s="152"/>
      <c r="AR12" s="152"/>
      <c r="AS12" s="152"/>
      <c r="AT12" s="152"/>
      <c r="AU12" s="133">
        <f t="shared" si="6"/>
        <v>0</v>
      </c>
      <c r="AV12" s="152"/>
      <c r="AW12" s="152"/>
      <c r="AX12" s="152"/>
      <c r="AY12" s="152"/>
      <c r="AZ12" s="152"/>
    </row>
    <row r="13" spans="1:52" s="151" customFormat="1" ht="30" customHeight="1">
      <c r="A13" s="152">
        <f t="shared" si="7"/>
        <v>9</v>
      </c>
      <c r="B13" s="153">
        <v>1993</v>
      </c>
      <c r="C13" s="152" t="s">
        <v>135</v>
      </c>
      <c r="D13" s="133">
        <v>6000000</v>
      </c>
      <c r="E13" s="133">
        <v>6000000</v>
      </c>
      <c r="F13" s="133">
        <f t="shared" si="0"/>
        <v>0</v>
      </c>
      <c r="G13" s="133">
        <v>6000000</v>
      </c>
      <c r="H13" s="133">
        <v>2653188</v>
      </c>
      <c r="I13" s="133">
        <v>2630028</v>
      </c>
      <c r="J13" s="133">
        <v>0</v>
      </c>
      <c r="K13" s="133">
        <f t="shared" si="5"/>
        <v>2630028</v>
      </c>
      <c r="L13" s="133">
        <f t="shared" si="1"/>
        <v>5283216</v>
      </c>
      <c r="M13" s="133">
        <f>P13+S13-700000</f>
        <v>16784</v>
      </c>
      <c r="N13" s="133">
        <v>700000</v>
      </c>
      <c r="O13" s="133">
        <f t="shared" si="2"/>
        <v>0</v>
      </c>
      <c r="P13" s="133">
        <f t="shared" si="3"/>
        <v>716784</v>
      </c>
      <c r="Q13" s="133"/>
      <c r="R13" s="133"/>
      <c r="S13" s="133">
        <f t="shared" si="4"/>
        <v>0</v>
      </c>
      <c r="T13" s="133">
        <v>700000</v>
      </c>
      <c r="U13" s="133">
        <v>0</v>
      </c>
      <c r="V13" s="133">
        <v>0</v>
      </c>
      <c r="W13" s="133"/>
      <c r="X13" s="133"/>
      <c r="Y13" s="133"/>
      <c r="Z13" s="133"/>
      <c r="AA13" s="152"/>
      <c r="AB13" s="326" t="s">
        <v>312</v>
      </c>
      <c r="AC13" s="152">
        <v>930000</v>
      </c>
      <c r="AD13" s="133"/>
      <c r="AE13" s="133"/>
      <c r="AF13" s="133"/>
      <c r="AG13" s="133"/>
      <c r="AH13" s="133"/>
      <c r="AI13" s="133"/>
      <c r="AJ13" s="133"/>
      <c r="AK13" s="133"/>
      <c r="AL13" s="133"/>
      <c r="AM13" s="133">
        <v>0</v>
      </c>
      <c r="AN13" s="133">
        <v>0</v>
      </c>
      <c r="AO13" s="133">
        <v>0</v>
      </c>
      <c r="AP13" s="152"/>
      <c r="AQ13" s="152"/>
      <c r="AR13" s="152"/>
      <c r="AS13" s="152"/>
      <c r="AT13" s="152"/>
      <c r="AU13" s="133">
        <f t="shared" si="6"/>
        <v>0</v>
      </c>
      <c r="AV13" s="152"/>
      <c r="AW13" s="152"/>
      <c r="AX13" s="152"/>
      <c r="AY13" s="152"/>
      <c r="AZ13" s="152"/>
    </row>
    <row r="14" spans="1:52" s="151" customFormat="1" ht="30" customHeight="1">
      <c r="A14" s="152">
        <f t="shared" si="7"/>
        <v>10</v>
      </c>
      <c r="B14" s="153">
        <v>2055</v>
      </c>
      <c r="C14" s="152" t="s">
        <v>307</v>
      </c>
      <c r="D14" s="133">
        <v>220000</v>
      </c>
      <c r="E14" s="133">
        <v>220000</v>
      </c>
      <c r="F14" s="133">
        <f t="shared" si="0"/>
        <v>0</v>
      </c>
      <c r="G14" s="133">
        <v>200000</v>
      </c>
      <c r="H14" s="133">
        <v>122292</v>
      </c>
      <c r="I14" s="133">
        <v>0</v>
      </c>
      <c r="J14" s="133">
        <v>0</v>
      </c>
      <c r="K14" s="133">
        <f t="shared" si="5"/>
        <v>0</v>
      </c>
      <c r="L14" s="133">
        <f t="shared" si="1"/>
        <v>122292</v>
      </c>
      <c r="M14" s="133">
        <f>P14+S14-70000</f>
        <v>7708</v>
      </c>
      <c r="N14" s="133">
        <v>70000</v>
      </c>
      <c r="O14" s="133">
        <f t="shared" si="2"/>
        <v>20000</v>
      </c>
      <c r="P14" s="133">
        <f t="shared" si="3"/>
        <v>77708</v>
      </c>
      <c r="Q14" s="133"/>
      <c r="R14" s="133"/>
      <c r="S14" s="133">
        <f t="shared" si="4"/>
        <v>0</v>
      </c>
      <c r="T14" s="133">
        <v>70000</v>
      </c>
      <c r="U14" s="133">
        <v>0</v>
      </c>
      <c r="V14" s="133">
        <v>0</v>
      </c>
      <c r="W14" s="133"/>
      <c r="X14" s="133"/>
      <c r="Y14" s="133"/>
      <c r="Z14" s="133"/>
      <c r="AA14" s="152"/>
      <c r="AB14" s="326" t="s">
        <v>333</v>
      </c>
      <c r="AC14" s="152">
        <v>930000</v>
      </c>
      <c r="AD14" s="133"/>
      <c r="AE14" s="133"/>
      <c r="AF14" s="133"/>
      <c r="AG14" s="133"/>
      <c r="AH14" s="133"/>
      <c r="AI14" s="133"/>
      <c r="AJ14" s="133"/>
      <c r="AK14" s="133"/>
      <c r="AL14" s="133"/>
      <c r="AM14" s="133">
        <v>0</v>
      </c>
      <c r="AN14" s="133">
        <v>0</v>
      </c>
      <c r="AO14" s="133">
        <v>0</v>
      </c>
      <c r="AP14" s="152"/>
      <c r="AQ14" s="152"/>
      <c r="AR14" s="152"/>
      <c r="AS14" s="152"/>
      <c r="AT14" s="152"/>
      <c r="AU14" s="133">
        <f t="shared" si="6"/>
        <v>0</v>
      </c>
      <c r="AV14" s="152"/>
      <c r="AW14" s="152"/>
      <c r="AX14" s="152"/>
      <c r="AY14" s="152"/>
      <c r="AZ14" s="152"/>
    </row>
    <row r="15" spans="1:52" s="151" customFormat="1" ht="30" customHeight="1">
      <c r="A15" s="152">
        <f t="shared" si="7"/>
        <v>11</v>
      </c>
      <c r="B15" s="153">
        <v>2072</v>
      </c>
      <c r="C15" s="152" t="s">
        <v>367</v>
      </c>
      <c r="D15" s="133">
        <v>100000</v>
      </c>
      <c r="E15" s="133">
        <v>100000</v>
      </c>
      <c r="F15" s="133">
        <f>D15-E15</f>
        <v>0</v>
      </c>
      <c r="G15" s="133">
        <v>100000</v>
      </c>
      <c r="H15" s="133">
        <v>33379</v>
      </c>
      <c r="I15" s="133">
        <v>0</v>
      </c>
      <c r="J15" s="133">
        <v>0</v>
      </c>
      <c r="K15" s="133">
        <f t="shared" si="5"/>
        <v>0</v>
      </c>
      <c r="L15" s="133">
        <f t="shared" si="1"/>
        <v>33379</v>
      </c>
      <c r="M15" s="133">
        <f>P15+S15-60000</f>
        <v>6621</v>
      </c>
      <c r="N15" s="133">
        <v>60000</v>
      </c>
      <c r="O15" s="133">
        <f t="shared" si="2"/>
        <v>0</v>
      </c>
      <c r="P15" s="133">
        <f t="shared" si="3"/>
        <v>66621</v>
      </c>
      <c r="Q15" s="133"/>
      <c r="R15" s="133"/>
      <c r="S15" s="133">
        <f t="shared" si="4"/>
        <v>0</v>
      </c>
      <c r="T15" s="133">
        <v>60000</v>
      </c>
      <c r="U15" s="133">
        <v>0</v>
      </c>
      <c r="V15" s="133">
        <v>0</v>
      </c>
      <c r="W15" s="133"/>
      <c r="X15" s="133"/>
      <c r="Y15" s="133"/>
      <c r="Z15" s="133"/>
      <c r="AA15" s="152"/>
      <c r="AB15" s="326" t="s">
        <v>334</v>
      </c>
      <c r="AC15" s="152">
        <v>930000</v>
      </c>
      <c r="AD15" s="133"/>
      <c r="AE15" s="133"/>
      <c r="AF15" s="133"/>
      <c r="AG15" s="133"/>
      <c r="AH15" s="133"/>
      <c r="AI15" s="133"/>
      <c r="AJ15" s="133"/>
      <c r="AK15" s="133"/>
      <c r="AL15" s="133"/>
      <c r="AM15" s="133">
        <v>0</v>
      </c>
      <c r="AN15" s="133">
        <v>0</v>
      </c>
      <c r="AO15" s="133">
        <v>0</v>
      </c>
      <c r="AP15" s="152"/>
      <c r="AQ15" s="152"/>
      <c r="AR15" s="152"/>
      <c r="AS15" s="152"/>
      <c r="AT15" s="152"/>
      <c r="AU15" s="133">
        <f t="shared" si="6"/>
        <v>0</v>
      </c>
      <c r="AV15" s="152"/>
      <c r="AW15" s="152"/>
      <c r="AX15" s="152"/>
      <c r="AY15" s="152"/>
      <c r="AZ15" s="152"/>
    </row>
    <row r="16" spans="1:52" s="151" customFormat="1" ht="30" customHeight="1">
      <c r="A16" s="152">
        <f t="shared" si="7"/>
        <v>12</v>
      </c>
      <c r="B16" s="153">
        <v>2223</v>
      </c>
      <c r="C16" s="152" t="s">
        <v>500</v>
      </c>
      <c r="D16" s="133">
        <v>600000</v>
      </c>
      <c r="E16" s="133">
        <v>500000</v>
      </c>
      <c r="F16" s="133">
        <f>D16-E16</f>
        <v>100000</v>
      </c>
      <c r="G16" s="133">
        <v>0</v>
      </c>
      <c r="H16" s="133">
        <v>0</v>
      </c>
      <c r="I16" s="133">
        <v>0</v>
      </c>
      <c r="J16" s="133">
        <v>0</v>
      </c>
      <c r="K16" s="133">
        <f t="shared" si="5"/>
        <v>0</v>
      </c>
      <c r="L16" s="133">
        <f t="shared" si="1"/>
        <v>0</v>
      </c>
      <c r="M16" s="133">
        <f>P16+S16</f>
        <v>0</v>
      </c>
      <c r="N16" s="133">
        <v>600000</v>
      </c>
      <c r="O16" s="133">
        <f t="shared" si="2"/>
        <v>0</v>
      </c>
      <c r="P16" s="133">
        <f t="shared" si="3"/>
        <v>0</v>
      </c>
      <c r="Q16" s="133"/>
      <c r="R16" s="133"/>
      <c r="S16" s="133">
        <f t="shared" si="4"/>
        <v>0</v>
      </c>
      <c r="T16" s="133">
        <v>0</v>
      </c>
      <c r="U16" s="133">
        <v>600000</v>
      </c>
      <c r="V16" s="133">
        <v>600000</v>
      </c>
      <c r="W16" s="133"/>
      <c r="X16" s="133"/>
      <c r="Y16" s="133"/>
      <c r="Z16" s="133"/>
      <c r="AA16" s="152"/>
      <c r="AB16" s="326" t="s">
        <v>501</v>
      </c>
      <c r="AC16" s="152">
        <v>930000</v>
      </c>
      <c r="AD16" s="133"/>
      <c r="AE16" s="133"/>
      <c r="AF16" s="133"/>
      <c r="AG16" s="133"/>
      <c r="AH16" s="133"/>
      <c r="AI16" s="133"/>
      <c r="AJ16" s="133">
        <v>300000</v>
      </c>
      <c r="AK16" s="133"/>
      <c r="AL16" s="133"/>
      <c r="AM16" s="133">
        <v>300000</v>
      </c>
      <c r="AN16" s="133">
        <v>300000</v>
      </c>
      <c r="AO16" s="133">
        <v>300000</v>
      </c>
      <c r="AP16" s="133"/>
      <c r="AQ16" s="152"/>
      <c r="AR16" s="152"/>
      <c r="AS16" s="152"/>
      <c r="AT16" s="152"/>
      <c r="AU16" s="133">
        <f t="shared" si="6"/>
        <v>0</v>
      </c>
      <c r="AV16" s="133"/>
      <c r="AW16" s="152"/>
      <c r="AX16" s="152"/>
      <c r="AY16" s="152"/>
      <c r="AZ16" s="152"/>
    </row>
    <row r="17" spans="1:52" s="155" customFormat="1" ht="30" customHeight="1">
      <c r="A17" s="156">
        <f>A16</f>
        <v>12</v>
      </c>
      <c r="B17" s="156"/>
      <c r="C17" s="159" t="s">
        <v>317</v>
      </c>
      <c r="D17" s="161">
        <f t="shared" ref="D17:AZ17" si="8">SUM(D5:D16)</f>
        <v>121909000</v>
      </c>
      <c r="E17" s="161">
        <f t="shared" si="8"/>
        <v>121809000</v>
      </c>
      <c r="F17" s="161">
        <f t="shared" si="8"/>
        <v>100000</v>
      </c>
      <c r="G17" s="161">
        <f t="shared" si="8"/>
        <v>57751825</v>
      </c>
      <c r="H17" s="161">
        <f t="shared" si="8"/>
        <v>39852303</v>
      </c>
      <c r="I17" s="161">
        <f t="shared" si="8"/>
        <v>2630028</v>
      </c>
      <c r="J17" s="161">
        <f t="shared" si="8"/>
        <v>12003</v>
      </c>
      <c r="K17" s="161">
        <f t="shared" si="8"/>
        <v>2642031</v>
      </c>
      <c r="L17" s="161">
        <f t="shared" si="8"/>
        <v>42494334</v>
      </c>
      <c r="M17" s="161">
        <f t="shared" si="8"/>
        <v>227491</v>
      </c>
      <c r="N17" s="161">
        <f t="shared" si="8"/>
        <v>16120000</v>
      </c>
      <c r="O17" s="161">
        <f t="shared" si="8"/>
        <v>63067175</v>
      </c>
      <c r="P17" s="161">
        <f t="shared" si="8"/>
        <v>15257491</v>
      </c>
      <c r="Q17" s="161">
        <f t="shared" si="8"/>
        <v>0</v>
      </c>
      <c r="R17" s="161">
        <f t="shared" si="8"/>
        <v>0</v>
      </c>
      <c r="S17" s="161">
        <f t="shared" si="8"/>
        <v>0</v>
      </c>
      <c r="T17" s="161">
        <v>15030000</v>
      </c>
      <c r="U17" s="161">
        <v>1090000</v>
      </c>
      <c r="V17" s="161">
        <v>1090000</v>
      </c>
      <c r="W17" s="161">
        <v>0</v>
      </c>
      <c r="X17" s="161">
        <v>0</v>
      </c>
      <c r="Y17" s="161">
        <v>0</v>
      </c>
      <c r="Z17" s="161">
        <v>0</v>
      </c>
      <c r="AA17" s="161">
        <v>0</v>
      </c>
      <c r="AB17" s="161">
        <v>0</v>
      </c>
      <c r="AC17" s="161">
        <v>10982000</v>
      </c>
      <c r="AD17" s="161">
        <v>150000</v>
      </c>
      <c r="AE17" s="161">
        <v>100000</v>
      </c>
      <c r="AF17" s="161">
        <v>0</v>
      </c>
      <c r="AG17" s="161">
        <v>-1400000</v>
      </c>
      <c r="AH17" s="161">
        <v>0</v>
      </c>
      <c r="AI17" s="161">
        <v>400000</v>
      </c>
      <c r="AJ17" s="161">
        <v>350000</v>
      </c>
      <c r="AK17" s="161">
        <v>200000</v>
      </c>
      <c r="AL17" s="161">
        <v>990000</v>
      </c>
      <c r="AM17" s="161">
        <v>790000</v>
      </c>
      <c r="AN17" s="161">
        <v>300000</v>
      </c>
      <c r="AO17" s="161">
        <v>790000</v>
      </c>
      <c r="AP17" s="161">
        <v>0</v>
      </c>
      <c r="AQ17" s="161">
        <v>0</v>
      </c>
      <c r="AR17" s="161">
        <v>0</v>
      </c>
      <c r="AS17" s="161">
        <v>0</v>
      </c>
      <c r="AT17" s="161">
        <v>0</v>
      </c>
      <c r="AU17" s="161">
        <f t="shared" si="8"/>
        <v>990000</v>
      </c>
      <c r="AV17" s="161">
        <f t="shared" si="8"/>
        <v>0</v>
      </c>
      <c r="AW17" s="161">
        <f t="shared" si="8"/>
        <v>0</v>
      </c>
      <c r="AX17" s="161">
        <f t="shared" si="8"/>
        <v>0</v>
      </c>
      <c r="AY17" s="161">
        <f t="shared" si="8"/>
        <v>0</v>
      </c>
      <c r="AZ17" s="161">
        <f t="shared" si="8"/>
        <v>0</v>
      </c>
    </row>
    <row r="18" spans="1:52" hidden="1">
      <c r="L18" s="149">
        <f>K17+H17</f>
        <v>42494334</v>
      </c>
      <c r="M18" s="149">
        <f>P18+S17-T17</f>
        <v>227491</v>
      </c>
      <c r="N18" s="149">
        <f>T17+U17</f>
        <v>16120000</v>
      </c>
      <c r="P18" s="149">
        <f>G17-L18</f>
        <v>15257491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T3:U3"/>
    <mergeCell ref="V3:AA3"/>
    <mergeCell ref="AD3:AN3"/>
    <mergeCell ref="AO3:AT3"/>
    <mergeCell ref="AU3:AZ3"/>
  </mergeCells>
  <conditionalFormatting sqref="AB4">
    <cfRule type="cellIs" dxfId="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rowBreaks count="1" manualBreakCount="1">
    <brk id="18" max="27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"/>
  <sheetViews>
    <sheetView showZeros="0" rightToLeft="1" tabSelected="1" zoomScaleNormal="100" workbookViewId="0">
      <pane xSplit="3" ySplit="4" topLeftCell="D5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9.109375" defaultRowHeight="18"/>
  <cols>
    <col min="1" max="1" width="5.77734375" style="237" customWidth="1"/>
    <col min="2" max="2" width="5.77734375" style="147" customWidth="1"/>
    <col min="3" max="3" width="32.77734375" style="147" customWidth="1"/>
    <col min="4" max="6" width="10.6640625" style="148" hidden="1" customWidth="1"/>
    <col min="7" max="7" width="9.6640625" style="148" hidden="1" customWidth="1"/>
    <col min="8" max="8" width="10.5546875" style="148" hidden="1" customWidth="1"/>
    <col min="9" max="11" width="8.6640625" style="148" hidden="1" customWidth="1"/>
    <col min="12" max="15" width="10.109375" style="148" hidden="1" customWidth="1"/>
    <col min="16" max="16" width="9.5546875" style="148" hidden="1" customWidth="1"/>
    <col min="17" max="19" width="8.6640625" style="148" hidden="1" customWidth="1"/>
    <col min="20" max="20" width="12.77734375" style="148" customWidth="1"/>
    <col min="21" max="23" width="12.77734375" style="147" customWidth="1"/>
    <col min="24" max="26" width="8.6640625" style="147" hidden="1" customWidth="1"/>
    <col min="27" max="27" width="12.77734375" style="147" customWidth="1"/>
    <col min="28" max="28" width="31.6640625" style="162" hidden="1" customWidth="1"/>
    <col min="29" max="29" width="7.88671875" style="147" hidden="1" customWidth="1"/>
    <col min="30" max="38" width="13.6640625" style="235" hidden="1" customWidth="1"/>
    <col min="39" max="40" width="12.77734375" style="235" customWidth="1"/>
    <col min="41" max="42" width="12.77734375" style="147" customWidth="1"/>
    <col min="43" max="45" width="13.6640625" style="147" hidden="1" customWidth="1"/>
    <col min="46" max="46" width="12.77734375" style="147" customWidth="1"/>
    <col min="47" max="52" width="13.6640625" style="147" hidden="1" customWidth="1"/>
    <col min="53" max="16384" width="9.109375" style="147"/>
  </cols>
  <sheetData>
    <row r="1" spans="1:52" s="235" customFormat="1">
      <c r="A1" s="639"/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252"/>
      <c r="Y1" s="252"/>
      <c r="Z1" s="252"/>
      <c r="AB1" s="236"/>
    </row>
    <row r="2" spans="1:52">
      <c r="A2" s="234" t="s">
        <v>1455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3" spans="1:52" ht="39" customHeight="1">
      <c r="T3" s="622" t="s">
        <v>1426</v>
      </c>
      <c r="U3" s="622"/>
      <c r="V3" s="644" t="s">
        <v>83</v>
      </c>
      <c r="W3" s="645"/>
      <c r="X3" s="645"/>
      <c r="Y3" s="645"/>
      <c r="Z3" s="645"/>
      <c r="AA3" s="646"/>
      <c r="AD3" s="644" t="s">
        <v>207</v>
      </c>
      <c r="AE3" s="645"/>
      <c r="AF3" s="645"/>
      <c r="AG3" s="645"/>
      <c r="AH3" s="645"/>
      <c r="AI3" s="645"/>
      <c r="AJ3" s="645"/>
      <c r="AK3" s="645"/>
      <c r="AL3" s="645"/>
      <c r="AM3" s="645"/>
      <c r="AN3" s="646"/>
      <c r="AO3" s="647" t="s">
        <v>1164</v>
      </c>
      <c r="AP3" s="648"/>
      <c r="AQ3" s="648"/>
      <c r="AR3" s="648"/>
      <c r="AS3" s="648"/>
      <c r="AT3" s="649"/>
      <c r="AU3" s="622" t="s">
        <v>953</v>
      </c>
      <c r="AV3" s="622"/>
      <c r="AW3" s="622"/>
      <c r="AX3" s="622"/>
      <c r="AY3" s="622"/>
      <c r="AZ3" s="622"/>
    </row>
    <row r="4" spans="1:52" s="249" customFormat="1" ht="58.95" customHeight="1">
      <c r="A4" s="167" t="s">
        <v>0</v>
      </c>
      <c r="B4" s="167" t="s">
        <v>1</v>
      </c>
      <c r="C4" s="167" t="s">
        <v>2</v>
      </c>
      <c r="D4" s="167" t="s">
        <v>3</v>
      </c>
      <c r="E4" s="167" t="s">
        <v>4</v>
      </c>
      <c r="F4" s="167" t="s">
        <v>5</v>
      </c>
      <c r="G4" s="167" t="s">
        <v>6</v>
      </c>
      <c r="H4" s="167" t="s">
        <v>7</v>
      </c>
      <c r="I4" s="167" t="s">
        <v>9</v>
      </c>
      <c r="J4" s="167" t="s">
        <v>132</v>
      </c>
      <c r="K4" s="167" t="s">
        <v>10</v>
      </c>
      <c r="L4" s="167" t="s">
        <v>11</v>
      </c>
      <c r="M4" s="9" t="s">
        <v>658</v>
      </c>
      <c r="N4" s="167" t="s">
        <v>659</v>
      </c>
      <c r="O4" s="9" t="s">
        <v>660</v>
      </c>
      <c r="P4" s="9" t="s">
        <v>12</v>
      </c>
      <c r="Q4" s="9" t="s">
        <v>661</v>
      </c>
      <c r="R4" s="9" t="s">
        <v>662</v>
      </c>
      <c r="S4" s="9" t="s">
        <v>663</v>
      </c>
      <c r="T4" s="9" t="s">
        <v>664</v>
      </c>
      <c r="U4" s="9" t="s">
        <v>665</v>
      </c>
      <c r="V4" s="591" t="s">
        <v>13</v>
      </c>
      <c r="W4" s="591" t="s">
        <v>14</v>
      </c>
      <c r="X4" s="591" t="s">
        <v>15</v>
      </c>
      <c r="Y4" s="591" t="s">
        <v>225</v>
      </c>
      <c r="Z4" s="591" t="s">
        <v>575</v>
      </c>
      <c r="AA4" s="591" t="s">
        <v>79</v>
      </c>
      <c r="AB4" s="532" t="s">
        <v>257</v>
      </c>
      <c r="AC4" s="167" t="s">
        <v>16</v>
      </c>
      <c r="AD4" s="481" t="s">
        <v>954</v>
      </c>
      <c r="AE4" s="481" t="s">
        <v>955</v>
      </c>
      <c r="AF4" s="481" t="s">
        <v>956</v>
      </c>
      <c r="AG4" s="481" t="s">
        <v>957</v>
      </c>
      <c r="AH4" s="481" t="s">
        <v>958</v>
      </c>
      <c r="AI4" s="481" t="s">
        <v>959</v>
      </c>
      <c r="AJ4" s="481" t="s">
        <v>960</v>
      </c>
      <c r="AK4" s="481" t="s">
        <v>961</v>
      </c>
      <c r="AL4" s="481" t="s">
        <v>962</v>
      </c>
      <c r="AM4" s="19" t="s">
        <v>1046</v>
      </c>
      <c r="AN4" s="19" t="s">
        <v>635</v>
      </c>
      <c r="AO4" s="167" t="s">
        <v>13</v>
      </c>
      <c r="AP4" s="167" t="s">
        <v>14</v>
      </c>
      <c r="AQ4" s="167" t="s">
        <v>15</v>
      </c>
      <c r="AR4" s="167" t="s">
        <v>225</v>
      </c>
      <c r="AS4" s="167" t="s">
        <v>575</v>
      </c>
      <c r="AT4" s="15" t="s">
        <v>79</v>
      </c>
      <c r="AU4" s="167" t="s">
        <v>13</v>
      </c>
      <c r="AV4" s="167" t="s">
        <v>14</v>
      </c>
      <c r="AW4" s="167" t="s">
        <v>15</v>
      </c>
      <c r="AX4" s="167" t="s">
        <v>225</v>
      </c>
      <c r="AY4" s="167" t="s">
        <v>575</v>
      </c>
      <c r="AZ4" s="15" t="s">
        <v>79</v>
      </c>
    </row>
    <row r="5" spans="1:52" s="5" customFormat="1" ht="31.95" customHeight="1">
      <c r="A5" s="3">
        <v>1</v>
      </c>
      <c r="B5" s="3">
        <v>529</v>
      </c>
      <c r="C5" s="3" t="s">
        <v>60</v>
      </c>
      <c r="D5" s="4">
        <v>700000</v>
      </c>
      <c r="E5" s="4">
        <v>700000</v>
      </c>
      <c r="F5" s="4">
        <f t="shared" ref="F5:F11" si="0">D5-E5</f>
        <v>0</v>
      </c>
      <c r="G5" s="4">
        <v>700000</v>
      </c>
      <c r="H5" s="4">
        <v>511921</v>
      </c>
      <c r="I5" s="4">
        <v>0</v>
      </c>
      <c r="J5" s="4">
        <v>0</v>
      </c>
      <c r="K5" s="4">
        <f>I5+J5</f>
        <v>0</v>
      </c>
      <c r="L5" s="4">
        <f>H5+K5</f>
        <v>511921</v>
      </c>
      <c r="M5" s="4">
        <f>P5+S5</f>
        <v>188079</v>
      </c>
      <c r="N5" s="4"/>
      <c r="O5" s="4">
        <f>D5-L5-M5-N5</f>
        <v>0</v>
      </c>
      <c r="P5" s="4">
        <f>G5-L5</f>
        <v>188079</v>
      </c>
      <c r="Q5" s="4"/>
      <c r="R5" s="4"/>
      <c r="S5" s="4">
        <f>SUM(Q5:R5)</f>
        <v>0</v>
      </c>
      <c r="T5" s="4">
        <v>0</v>
      </c>
      <c r="U5" s="4">
        <v>0</v>
      </c>
      <c r="V5" s="4">
        <v>0</v>
      </c>
      <c r="W5" s="4"/>
      <c r="X5" s="4"/>
      <c r="Y5" s="4"/>
      <c r="Z5" s="4"/>
      <c r="AA5" s="4"/>
      <c r="AB5" s="153" t="s">
        <v>309</v>
      </c>
      <c r="AC5" s="3">
        <v>840000</v>
      </c>
      <c r="AD5" s="296"/>
      <c r="AE5" s="296"/>
      <c r="AF5" s="296"/>
      <c r="AG5" s="296"/>
      <c r="AH5" s="296"/>
      <c r="AI5" s="296"/>
      <c r="AJ5" s="296"/>
      <c r="AK5" s="296"/>
      <c r="AL5" s="296"/>
      <c r="AM5" s="4">
        <v>0</v>
      </c>
      <c r="AN5" s="4">
        <v>0</v>
      </c>
      <c r="AO5" s="4">
        <v>0</v>
      </c>
      <c r="AP5" s="4"/>
      <c r="AQ5" s="4"/>
      <c r="AR5" s="4"/>
      <c r="AS5" s="4"/>
      <c r="AT5" s="4"/>
      <c r="AU5" s="4">
        <f>AL5-AV5</f>
        <v>0</v>
      </c>
      <c r="AV5" s="4"/>
      <c r="AW5" s="4"/>
      <c r="AX5" s="4"/>
      <c r="AY5" s="4"/>
      <c r="AZ5" s="4"/>
    </row>
    <row r="6" spans="1:52" s="5" customFormat="1" ht="31.95" customHeight="1">
      <c r="A6" s="153">
        <f>A5+1</f>
        <v>2</v>
      </c>
      <c r="B6" s="3">
        <v>1032</v>
      </c>
      <c r="C6" s="3" t="s">
        <v>122</v>
      </c>
      <c r="D6" s="4">
        <f>40500000+3000000-3000000</f>
        <v>40500000</v>
      </c>
      <c r="E6" s="4">
        <v>40500000</v>
      </c>
      <c r="F6" s="4">
        <f t="shared" si="0"/>
        <v>0</v>
      </c>
      <c r="G6" s="4">
        <v>32962968</v>
      </c>
      <c r="H6" s="4">
        <v>30523748</v>
      </c>
      <c r="I6" s="4">
        <v>0</v>
      </c>
      <c r="J6" s="4">
        <v>1854263</v>
      </c>
      <c r="K6" s="4">
        <f t="shared" ref="K6:K12" si="1">I6+J6</f>
        <v>1854263</v>
      </c>
      <c r="L6" s="4">
        <f t="shared" ref="L6:L12" si="2">H6+K6</f>
        <v>32378011</v>
      </c>
      <c r="M6" s="4">
        <f>P6+S6</f>
        <v>584957</v>
      </c>
      <c r="N6" s="4">
        <f>4500000-500000</f>
        <v>4000000</v>
      </c>
      <c r="O6" s="4">
        <f t="shared" ref="O6:O12" si="3">D6-L6-M6-N6</f>
        <v>3537032</v>
      </c>
      <c r="P6" s="4">
        <f t="shared" ref="P6:P12" si="4">G6-L6</f>
        <v>584957</v>
      </c>
      <c r="Q6" s="4"/>
      <c r="R6" s="4"/>
      <c r="S6" s="4">
        <f t="shared" ref="S6:S12" si="5">SUM(Q6:R6)</f>
        <v>0</v>
      </c>
      <c r="T6" s="4">
        <v>0</v>
      </c>
      <c r="U6" s="4">
        <v>4000000</v>
      </c>
      <c r="V6" s="4">
        <v>3900000</v>
      </c>
      <c r="W6" s="4">
        <v>100000</v>
      </c>
      <c r="X6" s="4"/>
      <c r="Y6" s="4"/>
      <c r="Z6" s="4"/>
      <c r="AA6" s="4"/>
      <c r="AB6" s="153" t="s">
        <v>767</v>
      </c>
      <c r="AC6" s="3">
        <v>742000</v>
      </c>
      <c r="AD6" s="296"/>
      <c r="AE6" s="296"/>
      <c r="AF6" s="296"/>
      <c r="AG6" s="4">
        <v>1600000</v>
      </c>
      <c r="AH6" s="4"/>
      <c r="AI6" s="4"/>
      <c r="AJ6" s="4">
        <v>1000000</v>
      </c>
      <c r="AK6" s="4">
        <v>1000000</v>
      </c>
      <c r="AL6" s="4"/>
      <c r="AM6" s="4">
        <v>3600000</v>
      </c>
      <c r="AN6" s="4">
        <v>400000</v>
      </c>
      <c r="AO6" s="4">
        <v>3500000</v>
      </c>
      <c r="AP6" s="4">
        <v>100000</v>
      </c>
      <c r="AQ6" s="4"/>
      <c r="AR6" s="4"/>
      <c r="AS6" s="4"/>
      <c r="AT6" s="4"/>
      <c r="AU6" s="4">
        <f t="shared" ref="AU6:AU13" si="6">AL6-AV6</f>
        <v>0</v>
      </c>
      <c r="AV6" s="4"/>
      <c r="AW6" s="4"/>
      <c r="AX6" s="4"/>
      <c r="AY6" s="4"/>
      <c r="AZ6" s="4"/>
    </row>
    <row r="7" spans="1:52" s="157" customFormat="1" ht="31.95" customHeight="1">
      <c r="A7" s="153">
        <f t="shared" ref="A7:A13" si="7">A6+1</f>
        <v>3</v>
      </c>
      <c r="B7" s="153">
        <v>1130</v>
      </c>
      <c r="C7" s="153" t="s">
        <v>32</v>
      </c>
      <c r="D7" s="154">
        <v>16000000</v>
      </c>
      <c r="E7" s="154">
        <v>16000000</v>
      </c>
      <c r="F7" s="154">
        <f t="shared" si="0"/>
        <v>0</v>
      </c>
      <c r="G7" s="154">
        <v>14131894</v>
      </c>
      <c r="H7" s="154">
        <v>13798338</v>
      </c>
      <c r="I7" s="154">
        <v>0</v>
      </c>
      <c r="J7" s="154">
        <v>239354</v>
      </c>
      <c r="K7" s="4">
        <f t="shared" si="1"/>
        <v>239354</v>
      </c>
      <c r="L7" s="4">
        <f t="shared" si="2"/>
        <v>14037692</v>
      </c>
      <c r="M7" s="4">
        <f t="shared" ref="M7:M13" si="8">P7+S7</f>
        <v>244202</v>
      </c>
      <c r="N7" s="4">
        <v>300000</v>
      </c>
      <c r="O7" s="4">
        <f t="shared" si="3"/>
        <v>1418106</v>
      </c>
      <c r="P7" s="4">
        <f t="shared" si="4"/>
        <v>94202</v>
      </c>
      <c r="Q7" s="4">
        <v>150000</v>
      </c>
      <c r="R7" s="4"/>
      <c r="S7" s="4">
        <f t="shared" si="5"/>
        <v>150000</v>
      </c>
      <c r="T7" s="4">
        <v>0</v>
      </c>
      <c r="U7" s="4">
        <v>300000</v>
      </c>
      <c r="V7" s="4">
        <v>300000</v>
      </c>
      <c r="W7" s="4"/>
      <c r="X7" s="4"/>
      <c r="Y7" s="4"/>
      <c r="Z7" s="4"/>
      <c r="AA7" s="4"/>
      <c r="AB7" s="153" t="s">
        <v>517</v>
      </c>
      <c r="AC7" s="153">
        <v>742000</v>
      </c>
      <c r="AD7" s="296"/>
      <c r="AE7" s="4"/>
      <c r="AF7" s="4">
        <v>100000</v>
      </c>
      <c r="AG7" s="4">
        <v>200000</v>
      </c>
      <c r="AH7" s="4"/>
      <c r="AI7" s="4"/>
      <c r="AJ7" s="4"/>
      <c r="AK7" s="4"/>
      <c r="AL7" s="4"/>
      <c r="AM7" s="4">
        <v>300000</v>
      </c>
      <c r="AN7" s="4">
        <v>0</v>
      </c>
      <c r="AO7" s="4">
        <v>300000</v>
      </c>
      <c r="AP7" s="4"/>
      <c r="AQ7" s="4"/>
      <c r="AR7" s="4"/>
      <c r="AS7" s="4"/>
      <c r="AT7" s="4"/>
      <c r="AU7" s="4">
        <f t="shared" si="6"/>
        <v>0</v>
      </c>
      <c r="AV7" s="4"/>
      <c r="AW7" s="4"/>
      <c r="AX7" s="4"/>
      <c r="AY7" s="4"/>
      <c r="AZ7" s="4"/>
    </row>
    <row r="8" spans="1:52" s="157" customFormat="1" ht="31.95" customHeight="1">
      <c r="A8" s="153">
        <f t="shared" si="7"/>
        <v>4</v>
      </c>
      <c r="B8" s="153">
        <v>1259</v>
      </c>
      <c r="C8" s="153" t="s">
        <v>53</v>
      </c>
      <c r="D8" s="154">
        <v>5460000</v>
      </c>
      <c r="E8" s="154">
        <v>5460000</v>
      </c>
      <c r="F8" s="154">
        <f t="shared" si="0"/>
        <v>0</v>
      </c>
      <c r="G8" s="154">
        <v>4310000</v>
      </c>
      <c r="H8" s="154">
        <v>4216963</v>
      </c>
      <c r="I8" s="154">
        <v>0</v>
      </c>
      <c r="J8" s="154">
        <v>90239</v>
      </c>
      <c r="K8" s="4">
        <f t="shared" si="1"/>
        <v>90239</v>
      </c>
      <c r="L8" s="4">
        <f t="shared" si="2"/>
        <v>4307202</v>
      </c>
      <c r="M8" s="4">
        <f t="shared" si="8"/>
        <v>302798</v>
      </c>
      <c r="N8" s="4">
        <v>500000</v>
      </c>
      <c r="O8" s="4">
        <f t="shared" si="3"/>
        <v>350000</v>
      </c>
      <c r="P8" s="4">
        <f t="shared" si="4"/>
        <v>2798</v>
      </c>
      <c r="Q8" s="4">
        <v>300000</v>
      </c>
      <c r="R8" s="4"/>
      <c r="S8" s="4">
        <f t="shared" si="5"/>
        <v>300000</v>
      </c>
      <c r="T8" s="4">
        <v>0</v>
      </c>
      <c r="U8" s="4">
        <v>500000</v>
      </c>
      <c r="V8" s="4">
        <v>500000</v>
      </c>
      <c r="W8" s="4"/>
      <c r="X8" s="4"/>
      <c r="Y8" s="4"/>
      <c r="Z8" s="4"/>
      <c r="AA8" s="4"/>
      <c r="AB8" s="153" t="s">
        <v>252</v>
      </c>
      <c r="AC8" s="153">
        <v>760000</v>
      </c>
      <c r="AD8" s="296"/>
      <c r="AE8" s="4"/>
      <c r="AF8" s="4"/>
      <c r="AG8" s="4"/>
      <c r="AH8" s="4"/>
      <c r="AI8" s="4"/>
      <c r="AJ8" s="4"/>
      <c r="AK8" s="4">
        <v>200000</v>
      </c>
      <c r="AL8" s="4">
        <v>200000</v>
      </c>
      <c r="AM8" s="4">
        <v>400000</v>
      </c>
      <c r="AN8" s="4">
        <v>100000</v>
      </c>
      <c r="AO8" s="4">
        <v>400000</v>
      </c>
      <c r="AP8" s="4"/>
      <c r="AQ8" s="4"/>
      <c r="AR8" s="4"/>
      <c r="AS8" s="4"/>
      <c r="AT8" s="4"/>
      <c r="AU8" s="4">
        <f t="shared" si="6"/>
        <v>200000</v>
      </c>
      <c r="AV8" s="4"/>
      <c r="AW8" s="4"/>
      <c r="AX8" s="4"/>
      <c r="AY8" s="4"/>
      <c r="AZ8" s="4"/>
    </row>
    <row r="9" spans="1:52" s="157" customFormat="1" ht="31.95" customHeight="1">
      <c r="A9" s="153">
        <f t="shared" si="7"/>
        <v>5</v>
      </c>
      <c r="B9" s="153">
        <v>1260</v>
      </c>
      <c r="C9" s="153" t="s">
        <v>54</v>
      </c>
      <c r="D9" s="154">
        <f>9108000+500000</f>
        <v>9608000</v>
      </c>
      <c r="E9" s="154">
        <v>9108000</v>
      </c>
      <c r="F9" s="154">
        <f t="shared" si="0"/>
        <v>500000</v>
      </c>
      <c r="G9" s="154">
        <v>8858000</v>
      </c>
      <c r="H9" s="154">
        <v>8650105</v>
      </c>
      <c r="I9" s="154">
        <v>0</v>
      </c>
      <c r="J9" s="154">
        <v>69755</v>
      </c>
      <c r="K9" s="4">
        <f t="shared" si="1"/>
        <v>69755</v>
      </c>
      <c r="L9" s="4">
        <f t="shared" si="2"/>
        <v>8719860</v>
      </c>
      <c r="M9" s="4">
        <f t="shared" si="8"/>
        <v>388140</v>
      </c>
      <c r="N9" s="4">
        <v>500000</v>
      </c>
      <c r="O9" s="4">
        <f t="shared" si="3"/>
        <v>0</v>
      </c>
      <c r="P9" s="4">
        <f t="shared" si="4"/>
        <v>138140</v>
      </c>
      <c r="Q9" s="4">
        <v>250000</v>
      </c>
      <c r="R9" s="4"/>
      <c r="S9" s="4">
        <f t="shared" si="5"/>
        <v>250000</v>
      </c>
      <c r="T9" s="4">
        <v>0</v>
      </c>
      <c r="U9" s="4">
        <v>500000</v>
      </c>
      <c r="V9" s="4">
        <v>500000</v>
      </c>
      <c r="W9" s="4"/>
      <c r="X9" s="4"/>
      <c r="Y9" s="4"/>
      <c r="Z9" s="4"/>
      <c r="AA9" s="4"/>
      <c r="AB9" s="153" t="s">
        <v>253</v>
      </c>
      <c r="AC9" s="153">
        <v>760000</v>
      </c>
      <c r="AD9" s="296"/>
      <c r="AE9" s="4"/>
      <c r="AF9" s="4"/>
      <c r="AG9" s="4"/>
      <c r="AH9" s="4"/>
      <c r="AI9" s="4"/>
      <c r="AJ9" s="4"/>
      <c r="AK9" s="4"/>
      <c r="AL9" s="4">
        <v>250000</v>
      </c>
      <c r="AM9" s="4">
        <v>250000</v>
      </c>
      <c r="AN9" s="4">
        <v>250000</v>
      </c>
      <c r="AO9" s="4">
        <v>250000</v>
      </c>
      <c r="AP9" s="4"/>
      <c r="AQ9" s="4"/>
      <c r="AR9" s="4"/>
      <c r="AS9" s="4"/>
      <c r="AT9" s="4"/>
      <c r="AU9" s="4">
        <f t="shared" si="6"/>
        <v>250000</v>
      </c>
      <c r="AV9" s="4"/>
      <c r="AW9" s="4"/>
      <c r="AX9" s="4"/>
      <c r="AY9" s="4"/>
      <c r="AZ9" s="4"/>
    </row>
    <row r="10" spans="1:52" s="157" customFormat="1" ht="31.95" customHeight="1">
      <c r="A10" s="153">
        <f t="shared" si="7"/>
        <v>6</v>
      </c>
      <c r="B10" s="153">
        <v>1422</v>
      </c>
      <c r="C10" s="153" t="s">
        <v>55</v>
      </c>
      <c r="D10" s="154">
        <v>30257000</v>
      </c>
      <c r="E10" s="154">
        <v>30257000</v>
      </c>
      <c r="F10" s="154">
        <f t="shared" si="0"/>
        <v>0</v>
      </c>
      <c r="G10" s="154">
        <v>14182000</v>
      </c>
      <c r="H10" s="154">
        <v>7257000</v>
      </c>
      <c r="I10" s="154">
        <v>0</v>
      </c>
      <c r="J10" s="154">
        <v>0</v>
      </c>
      <c r="K10" s="4">
        <f t="shared" si="1"/>
        <v>0</v>
      </c>
      <c r="L10" s="4">
        <f t="shared" si="2"/>
        <v>7257000</v>
      </c>
      <c r="M10" s="4">
        <f t="shared" si="8"/>
        <v>6925000</v>
      </c>
      <c r="N10" s="4"/>
      <c r="O10" s="4">
        <f t="shared" si="3"/>
        <v>16075000</v>
      </c>
      <c r="P10" s="4">
        <f t="shared" si="4"/>
        <v>6925000</v>
      </c>
      <c r="Q10" s="4"/>
      <c r="R10" s="4"/>
      <c r="S10" s="4">
        <f t="shared" si="5"/>
        <v>0</v>
      </c>
      <c r="T10" s="4">
        <v>0</v>
      </c>
      <c r="U10" s="4">
        <v>0</v>
      </c>
      <c r="V10" s="4">
        <v>0</v>
      </c>
      <c r="W10" s="4"/>
      <c r="X10" s="4"/>
      <c r="Y10" s="4"/>
      <c r="Z10" s="4"/>
      <c r="AA10" s="4"/>
      <c r="AB10" s="153" t="s">
        <v>328</v>
      </c>
      <c r="AC10" s="153">
        <v>730000</v>
      </c>
      <c r="AD10" s="296"/>
      <c r="AE10" s="4"/>
      <c r="AF10" s="4"/>
      <c r="AG10" s="4"/>
      <c r="AH10" s="4"/>
      <c r="AI10" s="4"/>
      <c r="AJ10" s="4"/>
      <c r="AK10" s="4"/>
      <c r="AL10" s="4"/>
      <c r="AM10" s="4">
        <v>0</v>
      </c>
      <c r="AN10" s="4">
        <v>0</v>
      </c>
      <c r="AO10" s="4">
        <v>0</v>
      </c>
      <c r="AP10" s="4"/>
      <c r="AQ10" s="4"/>
      <c r="AR10" s="4"/>
      <c r="AS10" s="4"/>
      <c r="AT10" s="4"/>
      <c r="AU10" s="4">
        <f t="shared" si="6"/>
        <v>0</v>
      </c>
      <c r="AV10" s="4"/>
      <c r="AW10" s="4"/>
      <c r="AX10" s="4"/>
      <c r="AY10" s="4"/>
      <c r="AZ10" s="4"/>
    </row>
    <row r="11" spans="1:52" s="157" customFormat="1" ht="31.95" customHeight="1">
      <c r="A11" s="153">
        <f t="shared" si="7"/>
        <v>7</v>
      </c>
      <c r="B11" s="153">
        <v>1688</v>
      </c>
      <c r="C11" s="153" t="s">
        <v>56</v>
      </c>
      <c r="D11" s="154">
        <v>15133000</v>
      </c>
      <c r="E11" s="154">
        <v>15133000</v>
      </c>
      <c r="F11" s="154">
        <f t="shared" si="0"/>
        <v>0</v>
      </c>
      <c r="G11" s="154">
        <v>15133000</v>
      </c>
      <c r="H11" s="154">
        <v>15133000</v>
      </c>
      <c r="I11" s="154">
        <v>0</v>
      </c>
      <c r="J11" s="154">
        <v>0</v>
      </c>
      <c r="K11" s="4">
        <f t="shared" si="1"/>
        <v>0</v>
      </c>
      <c r="L11" s="4">
        <f t="shared" si="2"/>
        <v>15133000</v>
      </c>
      <c r="M11" s="4">
        <f t="shared" si="8"/>
        <v>0</v>
      </c>
      <c r="N11" s="4"/>
      <c r="O11" s="4">
        <f t="shared" si="3"/>
        <v>0</v>
      </c>
      <c r="P11" s="4">
        <f t="shared" si="4"/>
        <v>0</v>
      </c>
      <c r="Q11" s="4"/>
      <c r="R11" s="4"/>
      <c r="S11" s="4">
        <f t="shared" si="5"/>
        <v>0</v>
      </c>
      <c r="T11" s="4">
        <v>0</v>
      </c>
      <c r="U11" s="4">
        <v>0</v>
      </c>
      <c r="V11" s="4">
        <v>0</v>
      </c>
      <c r="W11" s="4"/>
      <c r="X11" s="4"/>
      <c r="Y11" s="4"/>
      <c r="Z11" s="4"/>
      <c r="AA11" s="4"/>
      <c r="AB11" s="153" t="s">
        <v>329</v>
      </c>
      <c r="AC11" s="153">
        <v>990000</v>
      </c>
      <c r="AD11" s="296"/>
      <c r="AE11" s="4"/>
      <c r="AF11" s="4"/>
      <c r="AG11" s="4"/>
      <c r="AH11" s="4"/>
      <c r="AI11" s="4"/>
      <c r="AJ11" s="4"/>
      <c r="AK11" s="4"/>
      <c r="AL11" s="4"/>
      <c r="AM11" s="4">
        <v>0</v>
      </c>
      <c r="AN11" s="4">
        <v>0</v>
      </c>
      <c r="AO11" s="4">
        <v>0</v>
      </c>
      <c r="AP11" s="4"/>
      <c r="AQ11" s="4"/>
      <c r="AR11" s="4"/>
      <c r="AS11" s="4"/>
      <c r="AT11" s="4"/>
      <c r="AU11" s="4">
        <f t="shared" si="6"/>
        <v>0</v>
      </c>
      <c r="AV11" s="4"/>
      <c r="AW11" s="4"/>
      <c r="AX11" s="4"/>
      <c r="AY11" s="4"/>
      <c r="AZ11" s="4"/>
    </row>
    <row r="12" spans="1:52" s="157" customFormat="1" ht="31.95" customHeight="1">
      <c r="A12" s="153">
        <f t="shared" si="7"/>
        <v>8</v>
      </c>
      <c r="B12" s="153">
        <v>2100</v>
      </c>
      <c r="C12" s="153" t="s">
        <v>327</v>
      </c>
      <c r="D12" s="154">
        <f>7874955-4483292+30000</f>
        <v>3421663</v>
      </c>
      <c r="E12" s="154">
        <v>7874955</v>
      </c>
      <c r="F12" s="154">
        <f>D12-E12</f>
        <v>-4453292</v>
      </c>
      <c r="G12" s="154">
        <v>4466412</v>
      </c>
      <c r="H12" s="154">
        <v>2916863.19</v>
      </c>
      <c r="I12" s="154">
        <v>56221</v>
      </c>
      <c r="J12" s="154">
        <v>161332</v>
      </c>
      <c r="K12" s="4">
        <f t="shared" si="1"/>
        <v>217553</v>
      </c>
      <c r="L12" s="4">
        <f t="shared" si="2"/>
        <v>3134416.19</v>
      </c>
      <c r="M12" s="4">
        <f>P12+S12-1674749+600000+30000</f>
        <v>287246.81000000006</v>
      </c>
      <c r="N12" s="4"/>
      <c r="O12" s="4">
        <f t="shared" si="3"/>
        <v>0</v>
      </c>
      <c r="P12" s="4">
        <f t="shared" si="4"/>
        <v>1331995.81</v>
      </c>
      <c r="Q12" s="4"/>
      <c r="R12" s="4"/>
      <c r="S12" s="4">
        <f t="shared" si="5"/>
        <v>0</v>
      </c>
      <c r="T12" s="4">
        <v>1044749</v>
      </c>
      <c r="U12" s="4">
        <v>-1044749</v>
      </c>
      <c r="V12" s="4"/>
      <c r="W12" s="4">
        <v>-1044749</v>
      </c>
      <c r="X12" s="4"/>
      <c r="Y12" s="4"/>
      <c r="Z12" s="4"/>
      <c r="AA12" s="4"/>
      <c r="AB12" s="153" t="s">
        <v>835</v>
      </c>
      <c r="AC12" s="153">
        <v>742000</v>
      </c>
      <c r="AD12" s="296"/>
      <c r="AE12" s="4"/>
      <c r="AF12" s="4"/>
      <c r="AG12" s="4">
        <v>-889749</v>
      </c>
      <c r="AH12" s="4"/>
      <c r="AI12" s="4"/>
      <c r="AJ12" s="4"/>
      <c r="AK12" s="4"/>
      <c r="AL12" s="4"/>
      <c r="AM12" s="4">
        <v>-889749</v>
      </c>
      <c r="AN12" s="4">
        <v>-155000</v>
      </c>
      <c r="AO12" s="4">
        <v>0</v>
      </c>
      <c r="AP12" s="4">
        <v>-889749</v>
      </c>
      <c r="AQ12" s="4"/>
      <c r="AR12" s="4"/>
      <c r="AS12" s="4"/>
      <c r="AT12" s="4"/>
      <c r="AU12" s="4">
        <f t="shared" si="6"/>
        <v>0</v>
      </c>
      <c r="AV12" s="4">
        <f>AQ12</f>
        <v>0</v>
      </c>
      <c r="AW12" s="4"/>
      <c r="AX12" s="4"/>
      <c r="AY12" s="4"/>
      <c r="AZ12" s="4"/>
    </row>
    <row r="13" spans="1:52" s="5" customFormat="1" ht="31.95" customHeight="1">
      <c r="A13" s="153">
        <f t="shared" si="7"/>
        <v>9</v>
      </c>
      <c r="B13" s="28">
        <v>2222</v>
      </c>
      <c r="C13" s="153" t="s">
        <v>657</v>
      </c>
      <c r="D13" s="4">
        <f>10000000-2000000</f>
        <v>8000000</v>
      </c>
      <c r="E13" s="4">
        <v>10000000</v>
      </c>
      <c r="F13" s="4">
        <f>D13-E13</f>
        <v>-2000000</v>
      </c>
      <c r="G13" s="4">
        <v>4000000</v>
      </c>
      <c r="H13" s="4">
        <v>540746</v>
      </c>
      <c r="I13" s="4">
        <v>0</v>
      </c>
      <c r="J13" s="4">
        <v>1061261</v>
      </c>
      <c r="K13" s="4">
        <f>SUM(I13:J13)</f>
        <v>1061261</v>
      </c>
      <c r="L13" s="4">
        <f>H13+K13</f>
        <v>1602007</v>
      </c>
      <c r="M13" s="4">
        <f t="shared" si="8"/>
        <v>2397993</v>
      </c>
      <c r="N13" s="4">
        <f>6000000-1000000-1000000</f>
        <v>4000000</v>
      </c>
      <c r="O13" s="4">
        <f>D13-L13-M13-N13</f>
        <v>0</v>
      </c>
      <c r="P13" s="4">
        <f>G13-L13</f>
        <v>2397993</v>
      </c>
      <c r="Q13" s="4"/>
      <c r="R13" s="4"/>
      <c r="S13" s="4">
        <f>SUM(Q13:R13)</f>
        <v>0</v>
      </c>
      <c r="T13" s="4">
        <v>0</v>
      </c>
      <c r="U13" s="4">
        <v>4000000</v>
      </c>
      <c r="V13" s="4"/>
      <c r="W13" s="4">
        <v>4000000</v>
      </c>
      <c r="X13" s="4"/>
      <c r="Y13" s="4"/>
      <c r="Z13" s="4"/>
      <c r="AA13" s="4"/>
      <c r="AB13" s="153" t="s">
        <v>600</v>
      </c>
      <c r="AC13" s="3">
        <v>742000</v>
      </c>
      <c r="AD13" s="296"/>
      <c r="AE13" s="4"/>
      <c r="AF13" s="4"/>
      <c r="AG13" s="4">
        <v>4000000</v>
      </c>
      <c r="AH13" s="4"/>
      <c r="AI13" s="4"/>
      <c r="AJ13" s="4"/>
      <c r="AK13" s="4"/>
      <c r="AL13" s="4"/>
      <c r="AM13" s="4">
        <v>4000000</v>
      </c>
      <c r="AN13" s="4">
        <v>0</v>
      </c>
      <c r="AO13" s="4">
        <v>0</v>
      </c>
      <c r="AP13" s="4">
        <v>4000000</v>
      </c>
      <c r="AQ13" s="4"/>
      <c r="AR13" s="4"/>
      <c r="AS13" s="4"/>
      <c r="AT13" s="4"/>
      <c r="AU13" s="4">
        <f t="shared" si="6"/>
        <v>0</v>
      </c>
      <c r="AV13" s="4">
        <f>AQ13</f>
        <v>0</v>
      </c>
      <c r="AW13" s="4"/>
      <c r="AX13" s="4"/>
      <c r="AY13" s="4"/>
      <c r="AZ13" s="4"/>
    </row>
    <row r="14" spans="1:52" s="331" customFormat="1" ht="30" customHeight="1">
      <c r="A14" s="270">
        <f>A13</f>
        <v>9</v>
      </c>
      <c r="B14" s="270"/>
      <c r="C14" s="29" t="s">
        <v>320</v>
      </c>
      <c r="D14" s="330">
        <f>SUM(D5:D13)</f>
        <v>129079663</v>
      </c>
      <c r="E14" s="330">
        <f t="shared" ref="E14:AZ14" si="9">SUM(E5:E13)</f>
        <v>135032955</v>
      </c>
      <c r="F14" s="330">
        <f t="shared" si="9"/>
        <v>-5953292</v>
      </c>
      <c r="G14" s="330">
        <f t="shared" si="9"/>
        <v>98744274</v>
      </c>
      <c r="H14" s="330">
        <f t="shared" si="9"/>
        <v>83548684.189999998</v>
      </c>
      <c r="I14" s="330">
        <f t="shared" si="9"/>
        <v>56221</v>
      </c>
      <c r="J14" s="330">
        <f t="shared" si="9"/>
        <v>3476204</v>
      </c>
      <c r="K14" s="330">
        <f t="shared" si="9"/>
        <v>3532425</v>
      </c>
      <c r="L14" s="330">
        <f t="shared" si="9"/>
        <v>87081109.189999998</v>
      </c>
      <c r="M14" s="330">
        <f t="shared" si="9"/>
        <v>11318415.810000001</v>
      </c>
      <c r="N14" s="330">
        <f t="shared" si="9"/>
        <v>9300000</v>
      </c>
      <c r="O14" s="330">
        <f t="shared" si="9"/>
        <v>21380138</v>
      </c>
      <c r="P14" s="330">
        <f t="shared" si="9"/>
        <v>11663164.810000001</v>
      </c>
      <c r="Q14" s="330">
        <f t="shared" si="9"/>
        <v>700000</v>
      </c>
      <c r="R14" s="330">
        <f t="shared" si="9"/>
        <v>0</v>
      </c>
      <c r="S14" s="330">
        <f t="shared" si="9"/>
        <v>700000</v>
      </c>
      <c r="T14" s="330">
        <v>1044749</v>
      </c>
      <c r="U14" s="330">
        <v>8255251</v>
      </c>
      <c r="V14" s="330">
        <v>5200000</v>
      </c>
      <c r="W14" s="330">
        <v>3055251</v>
      </c>
      <c r="X14" s="330">
        <v>0</v>
      </c>
      <c r="Y14" s="330">
        <v>0</v>
      </c>
      <c r="Z14" s="330">
        <v>0</v>
      </c>
      <c r="AA14" s="330">
        <v>0</v>
      </c>
      <c r="AB14" s="330">
        <v>0</v>
      </c>
      <c r="AC14" s="330">
        <v>7048000</v>
      </c>
      <c r="AD14" s="330">
        <v>0</v>
      </c>
      <c r="AE14" s="330">
        <v>0</v>
      </c>
      <c r="AF14" s="330">
        <v>100000</v>
      </c>
      <c r="AG14" s="330">
        <v>4910251</v>
      </c>
      <c r="AH14" s="330">
        <v>0</v>
      </c>
      <c r="AI14" s="330">
        <v>0</v>
      </c>
      <c r="AJ14" s="330">
        <v>1000000</v>
      </c>
      <c r="AK14" s="330">
        <v>1200000</v>
      </c>
      <c r="AL14" s="330">
        <v>450000</v>
      </c>
      <c r="AM14" s="330">
        <v>7660251</v>
      </c>
      <c r="AN14" s="330">
        <v>595000</v>
      </c>
      <c r="AO14" s="330">
        <v>4450000</v>
      </c>
      <c r="AP14" s="330">
        <v>3210251</v>
      </c>
      <c r="AQ14" s="330">
        <v>0</v>
      </c>
      <c r="AR14" s="330">
        <v>0</v>
      </c>
      <c r="AS14" s="330">
        <v>0</v>
      </c>
      <c r="AT14" s="330">
        <v>0</v>
      </c>
      <c r="AU14" s="330">
        <f t="shared" si="9"/>
        <v>450000</v>
      </c>
      <c r="AV14" s="330">
        <f t="shared" si="9"/>
        <v>0</v>
      </c>
      <c r="AW14" s="330">
        <f t="shared" si="9"/>
        <v>0</v>
      </c>
      <c r="AX14" s="330">
        <f t="shared" si="9"/>
        <v>0</v>
      </c>
      <c r="AY14" s="330">
        <f t="shared" si="9"/>
        <v>0</v>
      </c>
      <c r="AZ14" s="330">
        <f t="shared" si="9"/>
        <v>0</v>
      </c>
    </row>
    <row r="15" spans="1:52" hidden="1">
      <c r="L15" s="148">
        <f>K14+H14</f>
        <v>87081109.189999998</v>
      </c>
      <c r="M15" s="148">
        <f>P15+S14-T14</f>
        <v>11318415.810000002</v>
      </c>
      <c r="P15" s="148">
        <f>G14-L15</f>
        <v>11663164.810000002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U3:AZ3"/>
    <mergeCell ref="A1:W1"/>
    <mergeCell ref="T3:U3"/>
    <mergeCell ref="V3:AA3"/>
    <mergeCell ref="AD3:AN3"/>
    <mergeCell ref="AO3:AT3"/>
  </mergeCells>
  <conditionalFormatting sqref="AB4">
    <cfRule type="cellIs" dxfId="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27"/>
  <sheetViews>
    <sheetView showZeros="0" rightToLeft="1" tabSelected="1" zoomScale="90" zoomScaleNormal="90" zoomScaleSheetLayoutView="75" workbookViewId="0">
      <pane xSplit="5" ySplit="6" topLeftCell="F48" activePane="bottomRight" state="frozen"/>
      <selection activeCell="M31" sqref="M31"/>
      <selection pane="topRight" activeCell="M31" sqref="M31"/>
      <selection pane="bottomLeft" activeCell="M31" sqref="M31"/>
      <selection pane="bottomRight" activeCell="M31" sqref="M31"/>
    </sheetView>
  </sheetViews>
  <sheetFormatPr defaultColWidth="14.44140625" defaultRowHeight="13.8"/>
  <cols>
    <col min="1" max="2" width="10.5546875" style="536" hidden="1" customWidth="1"/>
    <col min="3" max="4" width="5.77734375" style="536" customWidth="1"/>
    <col min="5" max="5" width="32.77734375" style="536" customWidth="1"/>
    <col min="6" max="6" width="12.88671875" style="536" hidden="1" customWidth="1"/>
    <col min="7" max="7" width="13.44140625" style="536" hidden="1" customWidth="1"/>
    <col min="8" max="8" width="10.6640625" style="536" hidden="1" customWidth="1"/>
    <col min="9" max="10" width="11.6640625" style="536" hidden="1" customWidth="1"/>
    <col min="11" max="13" width="10.6640625" style="536" hidden="1" customWidth="1"/>
    <col min="14" max="15" width="11.6640625" style="536" hidden="1" customWidth="1"/>
    <col min="16" max="16" width="12.109375" style="536" hidden="1" customWidth="1"/>
    <col min="17" max="17" width="11" style="536" hidden="1" customWidth="1"/>
    <col min="18" max="19" width="11.6640625" style="536" hidden="1" customWidth="1"/>
    <col min="20" max="23" width="12.77734375" style="536" customWidth="1"/>
    <col min="24" max="24" width="31.5546875" style="536" hidden="1" customWidth="1"/>
    <col min="25" max="27" width="10" style="536" hidden="1" customWidth="1"/>
    <col min="28" max="32" width="10.5546875" style="536" hidden="1" customWidth="1"/>
    <col min="33" max="33" width="14.6640625" style="536" hidden="1" customWidth="1"/>
    <col min="34" max="34" width="10.5546875" style="536" hidden="1" customWidth="1"/>
    <col min="35" max="39" width="12.77734375" style="536" customWidth="1"/>
    <col min="40" max="40" width="11.6640625" style="536" hidden="1" customWidth="1"/>
    <col min="41" max="41" width="11.109375" style="536" hidden="1" customWidth="1"/>
    <col min="42" max="42" width="10.5546875" style="536" hidden="1" customWidth="1"/>
    <col min="43" max="46" width="12.44140625" style="536" customWidth="1"/>
    <col min="47" max="47" width="10.44140625" style="536" customWidth="1"/>
    <col min="48" max="50" width="10.44140625" style="536" bestFit="1" customWidth="1"/>
    <col min="51" max="51" width="10" style="536" customWidth="1"/>
    <col min="52" max="52" width="10.44140625" style="536" customWidth="1"/>
    <col min="53" max="53" width="14.44140625" style="536"/>
    <col min="54" max="55" width="13.6640625" style="536" customWidth="1"/>
    <col min="56" max="58" width="10" style="536" customWidth="1"/>
    <col min="59" max="59" width="13.6640625" style="536" customWidth="1"/>
    <col min="60" max="61" width="14.44140625" style="536"/>
    <col min="62" max="64" width="13.6640625" style="536" customWidth="1"/>
    <col min="65" max="73" width="10.5546875" style="536" customWidth="1"/>
    <col min="74" max="16384" width="14.44140625" style="536"/>
  </cols>
  <sheetData>
    <row r="1" spans="1:73" ht="15" customHeight="1">
      <c r="A1" s="172"/>
      <c r="B1" s="61"/>
      <c r="C1" s="61"/>
      <c r="D1" s="533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534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184"/>
      <c r="AR1" s="184"/>
      <c r="AS1" s="184"/>
      <c r="AT1" s="184"/>
      <c r="AU1" s="184"/>
      <c r="AV1" s="184"/>
      <c r="AW1" s="184"/>
      <c r="AX1" s="184"/>
      <c r="AY1" s="535"/>
      <c r="AZ1" s="535"/>
      <c r="BA1" s="535"/>
      <c r="BB1" s="535"/>
      <c r="BC1" s="535"/>
      <c r="BD1" s="535"/>
      <c r="BE1" s="535"/>
      <c r="BF1" s="535"/>
      <c r="BG1" s="61"/>
      <c r="BH1" s="61"/>
      <c r="BI1" s="61"/>
      <c r="BJ1" s="61"/>
      <c r="BK1" s="61"/>
      <c r="BL1" s="61"/>
      <c r="BM1" s="172"/>
      <c r="BN1" s="172"/>
      <c r="BO1" s="172"/>
      <c r="BP1" s="172"/>
      <c r="BQ1" s="172"/>
      <c r="BR1" s="172"/>
      <c r="BS1" s="172"/>
      <c r="BT1" s="172"/>
      <c r="BU1" s="172"/>
    </row>
    <row r="2" spans="1:73" ht="22.8">
      <c r="B2" s="535"/>
      <c r="C2" s="652" t="s">
        <v>1348</v>
      </c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535"/>
      <c r="AL2" s="537"/>
      <c r="AM2" s="535"/>
      <c r="AN2" s="535"/>
      <c r="AO2" s="537"/>
      <c r="AP2" s="535"/>
      <c r="AQ2" s="184"/>
      <c r="AR2" s="184"/>
      <c r="AS2" s="184"/>
      <c r="AT2" s="184"/>
      <c r="AU2" s="184"/>
      <c r="AV2" s="184"/>
      <c r="AW2" s="184"/>
      <c r="AX2" s="184"/>
      <c r="AY2" s="535"/>
      <c r="AZ2" s="535"/>
      <c r="BA2" s="535"/>
      <c r="BB2" s="535"/>
      <c r="BC2" s="535"/>
      <c r="BD2" s="535"/>
      <c r="BE2" s="535"/>
      <c r="BF2" s="535"/>
      <c r="BG2" s="61"/>
      <c r="BH2" s="61"/>
      <c r="BI2" s="61"/>
      <c r="BJ2" s="61"/>
      <c r="BK2" s="61"/>
      <c r="BL2" s="61"/>
      <c r="BM2" s="172"/>
      <c r="BN2" s="172"/>
      <c r="BO2" s="172"/>
      <c r="BP2" s="172"/>
      <c r="BQ2" s="172"/>
      <c r="BR2" s="172"/>
      <c r="BS2" s="172"/>
      <c r="BT2" s="172"/>
      <c r="BU2" s="172"/>
    </row>
    <row r="3" spans="1:73" ht="17.25" customHeight="1">
      <c r="A3" s="607"/>
      <c r="B3" s="538"/>
      <c r="C3" s="538"/>
      <c r="D3" s="535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9"/>
      <c r="Y3" s="538"/>
      <c r="Z3" s="538"/>
      <c r="AA3" s="538"/>
      <c r="AB3" s="538"/>
      <c r="AC3" s="538"/>
      <c r="AD3" s="538"/>
      <c r="AE3" s="538"/>
      <c r="AF3" s="538"/>
      <c r="AG3" s="538"/>
      <c r="AH3" s="538"/>
      <c r="AI3" s="538"/>
      <c r="AJ3" s="540"/>
      <c r="AK3" s="538"/>
      <c r="AL3" s="538"/>
      <c r="AM3" s="538"/>
      <c r="AN3" s="538"/>
      <c r="AO3" s="538"/>
      <c r="AP3" s="538"/>
      <c r="AQ3" s="184"/>
      <c r="AR3" s="184"/>
      <c r="AS3" s="184"/>
      <c r="AT3" s="184"/>
      <c r="AU3" s="184"/>
      <c r="AV3" s="184"/>
      <c r="AW3" s="184"/>
      <c r="AX3" s="184"/>
      <c r="AY3" s="535"/>
      <c r="AZ3" s="535"/>
      <c r="BA3" s="535"/>
      <c r="BB3" s="535"/>
      <c r="BC3" s="535"/>
      <c r="BD3" s="535"/>
      <c r="BE3" s="535"/>
      <c r="BF3" s="535"/>
      <c r="BG3" s="61"/>
      <c r="BH3" s="61"/>
      <c r="BI3" s="61"/>
      <c r="BJ3" s="61"/>
      <c r="BK3" s="61"/>
      <c r="BL3" s="61"/>
      <c r="BM3" s="172"/>
      <c r="BN3" s="172"/>
      <c r="BO3" s="172"/>
      <c r="BP3" s="172"/>
      <c r="BQ3" s="172"/>
      <c r="BR3" s="172"/>
      <c r="BS3" s="172"/>
      <c r="BT3" s="172"/>
      <c r="BU3" s="172"/>
    </row>
    <row r="4" spans="1:73" ht="22.8">
      <c r="A4" s="394"/>
      <c r="B4" s="546"/>
      <c r="C4" s="546"/>
      <c r="D4" s="547"/>
      <c r="E4" s="546"/>
      <c r="F4" s="653" t="s">
        <v>216</v>
      </c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08"/>
      <c r="R4" s="546"/>
      <c r="S4" s="653" t="s">
        <v>217</v>
      </c>
      <c r="T4" s="653"/>
      <c r="U4" s="653"/>
      <c r="V4" s="653"/>
      <c r="W4" s="653"/>
      <c r="X4" s="589"/>
      <c r="Y4" s="608"/>
      <c r="Z4" s="608"/>
      <c r="AA4" s="608"/>
      <c r="AB4" s="608"/>
      <c r="AC4" s="608"/>
      <c r="AD4" s="608"/>
      <c r="AE4" s="608"/>
      <c r="AF4" s="608"/>
      <c r="AG4" s="608"/>
      <c r="AH4" s="608"/>
      <c r="AI4" s="608" t="s">
        <v>1052</v>
      </c>
      <c r="AJ4" s="654" t="s">
        <v>1171</v>
      </c>
      <c r="AK4" s="654"/>
      <c r="AL4" s="654"/>
      <c r="AM4" s="654"/>
      <c r="AN4" s="655" t="s">
        <v>1053</v>
      </c>
      <c r="AO4" s="656"/>
      <c r="AP4" s="657"/>
      <c r="AQ4" s="184"/>
      <c r="AR4" s="184"/>
      <c r="AS4" s="184"/>
      <c r="AT4" s="184"/>
      <c r="AU4" s="184"/>
      <c r="AV4" s="184"/>
      <c r="AW4" s="184"/>
      <c r="AX4" s="184"/>
      <c r="AY4" s="535"/>
      <c r="AZ4" s="535"/>
      <c r="BA4" s="535"/>
      <c r="BB4" s="535"/>
      <c r="BC4" s="535"/>
      <c r="BD4" s="535"/>
      <c r="BE4" s="535"/>
      <c r="BF4" s="535"/>
      <c r="BG4" s="61"/>
      <c r="BH4" s="61"/>
      <c r="BI4" s="61"/>
      <c r="BJ4" s="61"/>
      <c r="BK4" s="61"/>
      <c r="BL4" s="61"/>
      <c r="BM4" s="172"/>
      <c r="BN4" s="172"/>
      <c r="BO4" s="172"/>
      <c r="BP4" s="172"/>
      <c r="BQ4" s="172"/>
      <c r="BR4" s="172"/>
      <c r="BS4" s="172"/>
      <c r="BT4" s="172"/>
      <c r="BU4" s="172"/>
    </row>
    <row r="5" spans="1:73" s="545" customFormat="1" ht="64.95" customHeight="1">
      <c r="A5" s="408" t="s">
        <v>218</v>
      </c>
      <c r="B5" s="541" t="s">
        <v>219</v>
      </c>
      <c r="C5" s="541" t="s">
        <v>0</v>
      </c>
      <c r="D5" s="542" t="s">
        <v>1</v>
      </c>
      <c r="E5" s="541" t="s">
        <v>2</v>
      </c>
      <c r="F5" s="543" t="s">
        <v>220</v>
      </c>
      <c r="G5" s="543" t="s">
        <v>221</v>
      </c>
      <c r="H5" s="543" t="s">
        <v>222</v>
      </c>
      <c r="I5" s="543" t="s">
        <v>1054</v>
      </c>
      <c r="J5" s="9" t="s">
        <v>7</v>
      </c>
      <c r="K5" s="9" t="s">
        <v>9</v>
      </c>
      <c r="L5" s="9" t="s">
        <v>132</v>
      </c>
      <c r="M5" s="9" t="s">
        <v>10</v>
      </c>
      <c r="N5" s="543" t="s">
        <v>1055</v>
      </c>
      <c r="O5" s="543" t="s">
        <v>1056</v>
      </c>
      <c r="P5" s="543" t="s">
        <v>660</v>
      </c>
      <c r="Q5" s="543" t="s">
        <v>1057</v>
      </c>
      <c r="R5" s="543" t="s">
        <v>1058</v>
      </c>
      <c r="S5" s="543" t="s">
        <v>1059</v>
      </c>
      <c r="T5" s="543" t="s">
        <v>1060</v>
      </c>
      <c r="U5" s="543" t="s">
        <v>13</v>
      </c>
      <c r="V5" s="543" t="s">
        <v>14</v>
      </c>
      <c r="W5" s="543" t="s">
        <v>79</v>
      </c>
      <c r="X5" s="544" t="s">
        <v>404</v>
      </c>
      <c r="Y5" s="543" t="s">
        <v>1061</v>
      </c>
      <c r="Z5" s="543" t="s">
        <v>1062</v>
      </c>
      <c r="AA5" s="543" t="s">
        <v>1063</v>
      </c>
      <c r="AB5" s="543" t="s">
        <v>1064</v>
      </c>
      <c r="AC5" s="543" t="s">
        <v>1065</v>
      </c>
      <c r="AD5" s="543" t="s">
        <v>1066</v>
      </c>
      <c r="AE5" s="543" t="s">
        <v>1067</v>
      </c>
      <c r="AF5" s="543" t="s">
        <v>1068</v>
      </c>
      <c r="AG5" s="543" t="s">
        <v>1069</v>
      </c>
      <c r="AH5" s="543" t="s">
        <v>1165</v>
      </c>
      <c r="AI5" s="399" t="s">
        <v>1046</v>
      </c>
      <c r="AJ5" s="543" t="s">
        <v>963</v>
      </c>
      <c r="AK5" s="543" t="s">
        <v>13</v>
      </c>
      <c r="AL5" s="543" t="s">
        <v>14</v>
      </c>
      <c r="AM5" s="543" t="s">
        <v>79</v>
      </c>
      <c r="AN5" s="543" t="s">
        <v>13</v>
      </c>
      <c r="AO5" s="543" t="s">
        <v>14</v>
      </c>
      <c r="AP5" s="543" t="s">
        <v>79</v>
      </c>
      <c r="AQ5" s="184"/>
      <c r="AR5" s="184"/>
      <c r="AS5" s="184"/>
      <c r="AT5" s="184"/>
      <c r="AU5" s="184"/>
      <c r="AV5" s="184"/>
      <c r="AW5" s="184"/>
      <c r="AX5" s="184"/>
      <c r="AY5" s="535"/>
      <c r="AZ5" s="535"/>
      <c r="BA5" s="535"/>
      <c r="BB5" s="535"/>
      <c r="BC5" s="535"/>
      <c r="BD5" s="535"/>
      <c r="BE5" s="535"/>
      <c r="BF5" s="535"/>
      <c r="BG5" s="61"/>
      <c r="BJ5" s="61"/>
      <c r="BK5" s="61"/>
      <c r="BL5" s="61"/>
      <c r="BM5" s="172"/>
      <c r="BN5" s="172"/>
      <c r="BO5" s="172"/>
      <c r="BP5" s="172"/>
      <c r="BQ5" s="172"/>
      <c r="BR5" s="172"/>
      <c r="BS5" s="172"/>
      <c r="BT5" s="172"/>
      <c r="BU5" s="172"/>
    </row>
    <row r="6" spans="1:73" s="545" customFormat="1" ht="31.95" customHeight="1">
      <c r="A6" s="408"/>
      <c r="B6" s="541"/>
      <c r="C6" s="541"/>
      <c r="D6" s="542"/>
      <c r="E6" s="541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3"/>
      <c r="AA6" s="543"/>
      <c r="AB6" s="543"/>
      <c r="AC6" s="543"/>
      <c r="AD6" s="543"/>
      <c r="AE6" s="543"/>
      <c r="AF6" s="543"/>
      <c r="AG6" s="543"/>
      <c r="AH6" s="543"/>
      <c r="AI6" s="543"/>
      <c r="AJ6" s="543"/>
      <c r="AK6" s="543"/>
      <c r="AL6" s="543"/>
      <c r="AM6" s="543"/>
      <c r="AN6" s="543"/>
      <c r="AO6" s="543"/>
      <c r="AP6" s="543"/>
      <c r="AQ6" s="184"/>
      <c r="AR6" s="184"/>
      <c r="AS6" s="184"/>
      <c r="AT6" s="184"/>
      <c r="AU6" s="184"/>
      <c r="AV6" s="184"/>
      <c r="AW6" s="184"/>
      <c r="AX6" s="184"/>
      <c r="AY6" s="535"/>
      <c r="AZ6" s="535"/>
      <c r="BA6" s="535"/>
      <c r="BB6" s="535"/>
      <c r="BC6" s="535"/>
      <c r="BD6" s="535"/>
      <c r="BE6" s="535"/>
      <c r="BF6" s="535"/>
      <c r="BG6" s="61"/>
      <c r="BJ6" s="61"/>
      <c r="BK6" s="61"/>
      <c r="BL6" s="61"/>
      <c r="BM6" s="172"/>
      <c r="BN6" s="172"/>
      <c r="BO6" s="172"/>
      <c r="BP6" s="172"/>
      <c r="BQ6" s="172"/>
      <c r="BR6" s="172"/>
      <c r="BS6" s="172"/>
      <c r="BT6" s="172"/>
      <c r="BU6" s="172"/>
    </row>
    <row r="7" spans="1:73" s="553" customFormat="1" ht="31.95" customHeight="1">
      <c r="A7" s="604"/>
      <c r="B7" s="549"/>
      <c r="C7" s="549"/>
      <c r="D7" s="549"/>
      <c r="E7" s="544" t="s">
        <v>339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549"/>
      <c r="X7" s="542"/>
      <c r="Y7" s="549"/>
      <c r="Z7" s="549"/>
      <c r="AA7" s="549"/>
      <c r="AB7" s="549"/>
      <c r="AC7" s="549"/>
      <c r="AD7" s="549"/>
      <c r="AE7" s="549"/>
      <c r="AF7" s="549"/>
      <c r="AG7" s="549"/>
      <c r="AH7" s="549"/>
      <c r="AI7" s="549"/>
      <c r="AJ7" s="549"/>
      <c r="AK7" s="549"/>
      <c r="AL7" s="549"/>
      <c r="AM7" s="549"/>
      <c r="AN7" s="549"/>
      <c r="AO7" s="549"/>
      <c r="AP7" s="549"/>
      <c r="AQ7" s="374"/>
      <c r="AR7" s="374"/>
      <c r="AS7" s="374"/>
      <c r="AT7" s="374"/>
      <c r="AU7" s="374"/>
      <c r="AV7" s="374"/>
      <c r="AW7" s="374"/>
      <c r="AX7" s="374"/>
      <c r="AY7" s="552"/>
      <c r="AZ7" s="552"/>
      <c r="BA7" s="552"/>
      <c r="BB7" s="552"/>
      <c r="BC7" s="552"/>
      <c r="BD7" s="552"/>
      <c r="BE7" s="552"/>
      <c r="BF7" s="552"/>
      <c r="BG7" s="135"/>
      <c r="BJ7" s="135"/>
      <c r="BK7" s="135"/>
      <c r="BL7" s="135"/>
      <c r="BM7" s="395"/>
      <c r="BN7" s="395"/>
      <c r="BO7" s="395"/>
      <c r="BP7" s="395"/>
      <c r="BQ7" s="395"/>
      <c r="BR7" s="395"/>
      <c r="BS7" s="395"/>
      <c r="BT7" s="395"/>
      <c r="BU7" s="395"/>
    </row>
    <row r="8" spans="1:73" s="553" customFormat="1" ht="31.95" customHeight="1">
      <c r="A8" s="398" t="s">
        <v>1070</v>
      </c>
      <c r="B8" s="541" t="s">
        <v>1071</v>
      </c>
      <c r="C8" s="549">
        <v>1</v>
      </c>
      <c r="D8" s="549">
        <v>626</v>
      </c>
      <c r="E8" s="550" t="s">
        <v>1072</v>
      </c>
      <c r="F8" s="132">
        <v>34775000</v>
      </c>
      <c r="G8" s="132">
        <v>34775000</v>
      </c>
      <c r="H8" s="132">
        <f>F8-G8</f>
        <v>0</v>
      </c>
      <c r="I8" s="132">
        <v>16075000</v>
      </c>
      <c r="J8" s="132">
        <v>13822188.439999999</v>
      </c>
      <c r="K8" s="132"/>
      <c r="L8" s="132"/>
      <c r="M8" s="132"/>
      <c r="N8" s="132">
        <f>M8+J8</f>
        <v>13822188.439999999</v>
      </c>
      <c r="O8" s="132">
        <v>3952811.5600000005</v>
      </c>
      <c r="P8" s="132">
        <f>F8-N8-O8</f>
        <v>17000000</v>
      </c>
      <c r="Q8" s="132">
        <f>I8-N8</f>
        <v>2252811.5600000005</v>
      </c>
      <c r="R8" s="132">
        <f>O8-Q8</f>
        <v>1700000</v>
      </c>
      <c r="S8" s="132">
        <v>3200000</v>
      </c>
      <c r="T8" s="132">
        <v>-1500000</v>
      </c>
      <c r="U8" s="132">
        <v>500000</v>
      </c>
      <c r="V8" s="132"/>
      <c r="W8" s="132">
        <v>-2000000</v>
      </c>
      <c r="X8" s="551" t="s">
        <v>1073</v>
      </c>
      <c r="Y8" s="132"/>
      <c r="Z8" s="132"/>
      <c r="AA8" s="132"/>
      <c r="AB8" s="132"/>
      <c r="AC8" s="132"/>
      <c r="AD8" s="132">
        <v>500000</v>
      </c>
      <c r="AE8" s="132"/>
      <c r="AF8" s="132"/>
      <c r="AG8" s="132"/>
      <c r="AH8" s="132"/>
      <c r="AI8" s="132">
        <v>500000</v>
      </c>
      <c r="AJ8" s="132">
        <v>-2000000</v>
      </c>
      <c r="AK8" s="132">
        <v>500000</v>
      </c>
      <c r="AL8" s="132"/>
      <c r="AM8" s="132"/>
      <c r="AN8" s="132">
        <f>AH8-AO8-AP8</f>
        <v>0</v>
      </c>
      <c r="AO8" s="132"/>
      <c r="AP8" s="132"/>
      <c r="AQ8" s="374"/>
      <c r="AR8" s="374"/>
      <c r="AS8" s="374"/>
      <c r="AT8" s="374"/>
      <c r="AU8" s="374"/>
      <c r="AV8" s="374"/>
      <c r="AW8" s="374"/>
      <c r="AX8" s="374"/>
      <c r="AY8" s="552"/>
      <c r="AZ8" s="552"/>
      <c r="BA8" s="552"/>
      <c r="BB8" s="552"/>
      <c r="BC8" s="552"/>
      <c r="BD8" s="552"/>
      <c r="BE8" s="552"/>
      <c r="BF8" s="552"/>
      <c r="BG8" s="135"/>
      <c r="BJ8" s="135"/>
      <c r="BK8" s="135"/>
      <c r="BL8" s="135"/>
      <c r="BM8" s="395"/>
      <c r="BN8" s="395"/>
      <c r="BO8" s="395"/>
      <c r="BP8" s="395"/>
      <c r="BQ8" s="395"/>
      <c r="BR8" s="395"/>
      <c r="BS8" s="395"/>
      <c r="BT8" s="395"/>
      <c r="BU8" s="395"/>
    </row>
    <row r="9" spans="1:73" s="553" customFormat="1" ht="31.95" customHeight="1">
      <c r="A9" s="398" t="s">
        <v>1070</v>
      </c>
      <c r="B9" s="541" t="s">
        <v>1071</v>
      </c>
      <c r="C9" s="549">
        <v>2</v>
      </c>
      <c r="D9" s="549">
        <v>2142</v>
      </c>
      <c r="E9" s="550" t="s">
        <v>448</v>
      </c>
      <c r="F9" s="132">
        <f>4000000-1100000</f>
        <v>2900000</v>
      </c>
      <c r="G9" s="132">
        <v>4000000</v>
      </c>
      <c r="H9" s="132">
        <f>F9-G9</f>
        <v>-1100000</v>
      </c>
      <c r="I9" s="132">
        <v>3400000</v>
      </c>
      <c r="J9" s="132">
        <v>1261586.1100000001</v>
      </c>
      <c r="K9" s="132"/>
      <c r="L9" s="132"/>
      <c r="M9" s="132"/>
      <c r="N9" s="132">
        <f>M9+J9</f>
        <v>1261586.1100000001</v>
      </c>
      <c r="O9" s="132">
        <v>1638414</v>
      </c>
      <c r="P9" s="132">
        <f>F9-N9-O9</f>
        <v>-0.11000000010244548</v>
      </c>
      <c r="Q9" s="132">
        <f>I9-N9</f>
        <v>2138413.8899999997</v>
      </c>
      <c r="R9" s="132">
        <f>O9-Q9</f>
        <v>-499999.88999999966</v>
      </c>
      <c r="S9" s="132"/>
      <c r="T9" s="132">
        <v>-499999.88999999966</v>
      </c>
      <c r="U9" s="132">
        <v>-499999.88999999966</v>
      </c>
      <c r="V9" s="132"/>
      <c r="W9" s="132"/>
      <c r="X9" s="551" t="s">
        <v>1074</v>
      </c>
      <c r="Y9" s="132"/>
      <c r="Z9" s="132"/>
      <c r="AA9" s="132"/>
      <c r="AB9" s="132"/>
      <c r="AC9" s="132"/>
      <c r="AD9" s="132">
        <v>-500000</v>
      </c>
      <c r="AE9" s="132"/>
      <c r="AF9" s="132"/>
      <c r="AG9" s="132"/>
      <c r="AH9" s="132"/>
      <c r="AI9" s="132">
        <v>-500000</v>
      </c>
      <c r="AJ9" s="132">
        <v>0.11000000033527613</v>
      </c>
      <c r="AK9" s="132">
        <v>-500000</v>
      </c>
      <c r="AL9" s="132"/>
      <c r="AM9" s="132"/>
      <c r="AN9" s="132">
        <f>AH9-AO9-AP9</f>
        <v>0</v>
      </c>
      <c r="AO9" s="132"/>
      <c r="AP9" s="132"/>
      <c r="AQ9" s="374"/>
      <c r="AR9" s="374"/>
      <c r="AS9" s="374"/>
      <c r="AT9" s="374"/>
      <c r="AU9" s="374"/>
      <c r="AV9" s="374"/>
      <c r="AW9" s="374"/>
      <c r="AX9" s="374"/>
      <c r="AY9" s="552"/>
      <c r="AZ9" s="552"/>
      <c r="BA9" s="552"/>
      <c r="BB9" s="552"/>
      <c r="BC9" s="552"/>
      <c r="BD9" s="552"/>
      <c r="BE9" s="552"/>
      <c r="BF9" s="552"/>
      <c r="BG9" s="135"/>
      <c r="BJ9" s="135"/>
      <c r="BK9" s="135"/>
      <c r="BL9" s="135"/>
      <c r="BM9" s="395"/>
      <c r="BN9" s="395"/>
      <c r="BO9" s="395"/>
      <c r="BP9" s="395"/>
      <c r="BQ9" s="395"/>
      <c r="BR9" s="395"/>
      <c r="BS9" s="395"/>
      <c r="BT9" s="395"/>
      <c r="BU9" s="395"/>
    </row>
    <row r="10" spans="1:73" s="553" customFormat="1" ht="31.95" customHeight="1">
      <c r="A10" s="605"/>
      <c r="B10" s="566"/>
      <c r="C10" s="566">
        <f>COUNT(C8:C9)</f>
        <v>2</v>
      </c>
      <c r="D10" s="566"/>
      <c r="E10" s="544" t="s">
        <v>337</v>
      </c>
      <c r="F10" s="134">
        <f t="shared" ref="F10:S10" si="0">SUM(F8:F9)</f>
        <v>37675000</v>
      </c>
      <c r="G10" s="134">
        <f t="shared" si="0"/>
        <v>38775000</v>
      </c>
      <c r="H10" s="134">
        <f t="shared" si="0"/>
        <v>-1100000</v>
      </c>
      <c r="I10" s="134">
        <f t="shared" si="0"/>
        <v>19475000</v>
      </c>
      <c r="J10" s="134">
        <f t="shared" si="0"/>
        <v>15083774.549999999</v>
      </c>
      <c r="K10" s="134">
        <f t="shared" si="0"/>
        <v>0</v>
      </c>
      <c r="L10" s="134">
        <f t="shared" si="0"/>
        <v>0</v>
      </c>
      <c r="M10" s="134">
        <f t="shared" si="0"/>
        <v>0</v>
      </c>
      <c r="N10" s="134">
        <f t="shared" si="0"/>
        <v>15083774.549999999</v>
      </c>
      <c r="O10" s="134">
        <f t="shared" si="0"/>
        <v>5591225.5600000005</v>
      </c>
      <c r="P10" s="134">
        <f t="shared" si="0"/>
        <v>16999999.890000001</v>
      </c>
      <c r="Q10" s="134">
        <f t="shared" si="0"/>
        <v>4391225.45</v>
      </c>
      <c r="R10" s="134">
        <f t="shared" si="0"/>
        <v>1200000.1100000003</v>
      </c>
      <c r="S10" s="134">
        <f t="shared" si="0"/>
        <v>3200000</v>
      </c>
      <c r="T10" s="134">
        <v>-1999999.8899999997</v>
      </c>
      <c r="U10" s="134">
        <v>0.11000000033527613</v>
      </c>
      <c r="V10" s="134">
        <v>0</v>
      </c>
      <c r="W10" s="134">
        <v>-2000000</v>
      </c>
      <c r="X10" s="556"/>
      <c r="Y10" s="134">
        <v>0</v>
      </c>
      <c r="Z10" s="134">
        <v>0</v>
      </c>
      <c r="AA10" s="134">
        <v>0</v>
      </c>
      <c r="AB10" s="134">
        <v>0</v>
      </c>
      <c r="AC10" s="134">
        <v>0</v>
      </c>
      <c r="AD10" s="134">
        <v>0</v>
      </c>
      <c r="AE10" s="134">
        <v>0</v>
      </c>
      <c r="AF10" s="134">
        <v>0</v>
      </c>
      <c r="AG10" s="134">
        <v>0</v>
      </c>
      <c r="AH10" s="134">
        <v>0</v>
      </c>
      <c r="AI10" s="134">
        <v>0</v>
      </c>
      <c r="AJ10" s="134">
        <v>-1999999.8899999997</v>
      </c>
      <c r="AK10" s="134">
        <v>0</v>
      </c>
      <c r="AL10" s="134">
        <v>0</v>
      </c>
      <c r="AM10" s="134">
        <v>0</v>
      </c>
      <c r="AN10" s="134">
        <f t="shared" ref="AN10:AP10" si="1">SUM(AN8:AN9)</f>
        <v>0</v>
      </c>
      <c r="AO10" s="134">
        <f t="shared" si="1"/>
        <v>0</v>
      </c>
      <c r="AP10" s="134">
        <f t="shared" si="1"/>
        <v>0</v>
      </c>
      <c r="AQ10" s="374"/>
      <c r="AR10" s="374"/>
      <c r="AS10" s="374"/>
      <c r="AT10" s="374"/>
      <c r="AU10" s="374"/>
      <c r="AV10" s="374"/>
      <c r="AW10" s="374"/>
      <c r="AX10" s="374"/>
      <c r="AY10" s="552"/>
      <c r="AZ10" s="552"/>
      <c r="BA10" s="552"/>
      <c r="BB10" s="552"/>
      <c r="BC10" s="552"/>
      <c r="BD10" s="552"/>
      <c r="BE10" s="552"/>
      <c r="BF10" s="552"/>
      <c r="BG10" s="135"/>
      <c r="BJ10" s="135"/>
      <c r="BK10" s="135"/>
      <c r="BL10" s="135"/>
      <c r="BM10" s="395"/>
      <c r="BN10" s="395"/>
      <c r="BO10" s="395"/>
      <c r="BP10" s="395"/>
      <c r="BQ10" s="395"/>
      <c r="BR10" s="395"/>
      <c r="BS10" s="395"/>
      <c r="BT10" s="395"/>
      <c r="BU10" s="395"/>
    </row>
    <row r="11" spans="1:73" s="400" customFormat="1" ht="31.95" customHeight="1">
      <c r="A11" s="396"/>
      <c r="B11" s="396"/>
      <c r="C11" s="396"/>
      <c r="D11" s="397"/>
      <c r="E11" s="398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132"/>
      <c r="AG11" s="132"/>
      <c r="AH11" s="132"/>
      <c r="AI11" s="132">
        <v>0</v>
      </c>
      <c r="AJ11" s="132">
        <v>0</v>
      </c>
      <c r="AK11" s="132">
        <v>0</v>
      </c>
      <c r="AL11" s="399"/>
      <c r="AM11" s="399"/>
      <c r="AN11" s="132">
        <f>AK11-AO11-AP11</f>
        <v>0</v>
      </c>
      <c r="AO11" s="399"/>
      <c r="AP11" s="399"/>
      <c r="AQ11" s="184"/>
      <c r="AR11" s="184"/>
      <c r="AS11" s="184"/>
      <c r="AT11" s="184"/>
      <c r="AU11" s="184"/>
      <c r="AV11" s="184"/>
      <c r="AW11" s="184"/>
      <c r="AX11" s="184"/>
      <c r="AY11" s="535"/>
      <c r="AZ11" s="535"/>
      <c r="BA11" s="535"/>
      <c r="BB11" s="535"/>
      <c r="BC11" s="535"/>
      <c r="BD11" s="535"/>
      <c r="BE11" s="535"/>
      <c r="BF11" s="535"/>
      <c r="BG11" s="61"/>
      <c r="BJ11" s="61"/>
      <c r="BK11" s="61"/>
      <c r="BL11" s="61"/>
      <c r="BM11" s="172"/>
      <c r="BN11" s="172"/>
      <c r="BO11" s="172"/>
      <c r="BP11" s="172"/>
      <c r="BQ11" s="172"/>
      <c r="BR11" s="172"/>
      <c r="BS11" s="172"/>
      <c r="BT11" s="172"/>
      <c r="BU11" s="172"/>
    </row>
    <row r="12" spans="1:73" s="553" customFormat="1" ht="31.95" customHeight="1">
      <c r="A12" s="604"/>
      <c r="B12" s="549"/>
      <c r="C12" s="549"/>
      <c r="D12" s="549"/>
      <c r="E12" s="544" t="s">
        <v>180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549"/>
      <c r="X12" s="542"/>
      <c r="Y12" s="549"/>
      <c r="Z12" s="549"/>
      <c r="AA12" s="549"/>
      <c r="AB12" s="549"/>
      <c r="AC12" s="549"/>
      <c r="AD12" s="549"/>
      <c r="AE12" s="549"/>
      <c r="AF12" s="132"/>
      <c r="AG12" s="132"/>
      <c r="AH12" s="132"/>
      <c r="AI12" s="132">
        <v>0</v>
      </c>
      <c r="AJ12" s="132">
        <v>0</v>
      </c>
      <c r="AK12" s="132">
        <v>0</v>
      </c>
      <c r="AL12" s="549"/>
      <c r="AM12" s="549"/>
      <c r="AN12" s="132">
        <f>AK12-AO12-AP12</f>
        <v>0</v>
      </c>
      <c r="AO12" s="549"/>
      <c r="AP12" s="549"/>
      <c r="AQ12" s="374"/>
      <c r="AR12" s="374"/>
      <c r="AS12" s="374"/>
      <c r="AT12" s="374"/>
      <c r="AU12" s="374"/>
      <c r="AV12" s="374"/>
      <c r="AW12" s="374"/>
      <c r="AX12" s="374"/>
      <c r="AY12" s="552"/>
      <c r="AZ12" s="552"/>
      <c r="BA12" s="552"/>
      <c r="BB12" s="552"/>
      <c r="BC12" s="552"/>
      <c r="BD12" s="552"/>
      <c r="BE12" s="552"/>
      <c r="BF12" s="552"/>
      <c r="BG12" s="135"/>
      <c r="BJ12" s="135"/>
      <c r="BK12" s="135"/>
      <c r="BL12" s="135"/>
      <c r="BM12" s="395"/>
      <c r="BN12" s="395"/>
      <c r="BO12" s="395"/>
      <c r="BP12" s="395"/>
      <c r="BQ12" s="395"/>
      <c r="BR12" s="395"/>
      <c r="BS12" s="395"/>
      <c r="BT12" s="395"/>
      <c r="BU12" s="395"/>
    </row>
    <row r="13" spans="1:73" s="553" customFormat="1" ht="31.95" customHeight="1">
      <c r="A13" s="398" t="s">
        <v>1075</v>
      </c>
      <c r="B13" s="541" t="s">
        <v>1076</v>
      </c>
      <c r="C13" s="549">
        <v>3</v>
      </c>
      <c r="D13" s="549">
        <v>2205</v>
      </c>
      <c r="E13" s="550" t="s">
        <v>496</v>
      </c>
      <c r="F13" s="132">
        <v>16000000</v>
      </c>
      <c r="G13" s="132">
        <v>16000000</v>
      </c>
      <c r="H13" s="132">
        <f t="shared" ref="H13:H34" si="2">F13-G13</f>
        <v>0</v>
      </c>
      <c r="I13" s="132">
        <v>450000</v>
      </c>
      <c r="J13" s="132">
        <v>118159</v>
      </c>
      <c r="K13" s="132"/>
      <c r="L13" s="132">
        <v>11810</v>
      </c>
      <c r="M13" s="132">
        <f t="shared" ref="M13:M18" si="3">SUM(K13:L13)</f>
        <v>11810</v>
      </c>
      <c r="N13" s="132">
        <f t="shared" ref="N13:N34" si="4">M13+J13</f>
        <v>129969</v>
      </c>
      <c r="O13" s="132">
        <f>7000000+327600+320031</f>
        <v>7647631</v>
      </c>
      <c r="P13" s="132">
        <f t="shared" ref="P13:P34" si="5">F13-N13-O13</f>
        <v>8222400</v>
      </c>
      <c r="Q13" s="132">
        <f t="shared" ref="Q13:Q34" si="6">I13-N13</f>
        <v>320031</v>
      </c>
      <c r="R13" s="132">
        <f t="shared" ref="R13:R34" si="7">O13-Q13</f>
        <v>7327600</v>
      </c>
      <c r="S13" s="132">
        <v>7000000</v>
      </c>
      <c r="T13" s="132">
        <v>327600</v>
      </c>
      <c r="U13" s="132">
        <v>0</v>
      </c>
      <c r="V13" s="132"/>
      <c r="W13" s="132">
        <v>327600</v>
      </c>
      <c r="X13" s="551" t="s">
        <v>1077</v>
      </c>
      <c r="Y13" s="132"/>
      <c r="Z13" s="132">
        <v>327600</v>
      </c>
      <c r="AA13" s="132"/>
      <c r="AB13" s="132"/>
      <c r="AC13" s="132"/>
      <c r="AD13" s="132"/>
      <c r="AE13" s="132"/>
      <c r="AF13" s="132"/>
      <c r="AG13" s="132"/>
      <c r="AH13" s="132"/>
      <c r="AI13" s="132">
        <v>327600</v>
      </c>
      <c r="AJ13" s="132">
        <v>0</v>
      </c>
      <c r="AK13" s="132">
        <v>0</v>
      </c>
      <c r="AL13" s="132"/>
      <c r="AM13" s="132">
        <v>327600</v>
      </c>
      <c r="AN13" s="132">
        <f>AH13-AO13-AP13</f>
        <v>0</v>
      </c>
      <c r="AO13" s="132"/>
      <c r="AP13" s="132"/>
      <c r="AQ13" s="374"/>
      <c r="AR13" s="374"/>
      <c r="AS13" s="374"/>
      <c r="AT13" s="374"/>
      <c r="AU13" s="374"/>
      <c r="AV13" s="374"/>
      <c r="AW13" s="374"/>
      <c r="AX13" s="374"/>
      <c r="AY13" s="552"/>
      <c r="AZ13" s="552"/>
      <c r="BA13" s="552"/>
      <c r="BB13" s="552"/>
      <c r="BC13" s="552"/>
      <c r="BD13" s="552"/>
      <c r="BE13" s="552"/>
      <c r="BF13" s="552"/>
      <c r="BG13" s="135"/>
      <c r="BJ13" s="135"/>
      <c r="BK13" s="135"/>
      <c r="BL13" s="135"/>
      <c r="BM13" s="395"/>
      <c r="BN13" s="395"/>
      <c r="BO13" s="395"/>
      <c r="BP13" s="395"/>
      <c r="BQ13" s="395"/>
      <c r="BR13" s="395"/>
      <c r="BS13" s="395"/>
      <c r="BT13" s="395"/>
      <c r="BU13" s="395"/>
    </row>
    <row r="14" spans="1:73" s="553" customFormat="1" ht="31.95" customHeight="1">
      <c r="A14" s="398" t="s">
        <v>1078</v>
      </c>
      <c r="B14" s="541" t="s">
        <v>1079</v>
      </c>
      <c r="C14" s="549">
        <f>C13+1</f>
        <v>4</v>
      </c>
      <c r="D14" s="549">
        <v>2097</v>
      </c>
      <c r="E14" s="550" t="s">
        <v>1080</v>
      </c>
      <c r="F14" s="132">
        <v>79000000</v>
      </c>
      <c r="G14" s="132">
        <v>79000000</v>
      </c>
      <c r="H14" s="132">
        <f t="shared" si="2"/>
        <v>0</v>
      </c>
      <c r="I14" s="132">
        <v>6000000</v>
      </c>
      <c r="J14" s="132">
        <v>2498655</v>
      </c>
      <c r="K14" s="132"/>
      <c r="L14" s="132"/>
      <c r="M14" s="132">
        <f t="shared" si="3"/>
        <v>0</v>
      </c>
      <c r="N14" s="132">
        <f t="shared" si="4"/>
        <v>2498655</v>
      </c>
      <c r="O14" s="132">
        <f>290227+3501345</f>
        <v>3791572</v>
      </c>
      <c r="P14" s="132">
        <f t="shared" si="5"/>
        <v>72709773</v>
      </c>
      <c r="Q14" s="132">
        <f t="shared" si="6"/>
        <v>3501345</v>
      </c>
      <c r="R14" s="132">
        <f t="shared" si="7"/>
        <v>290227</v>
      </c>
      <c r="S14" s="132"/>
      <c r="T14" s="132">
        <v>290227</v>
      </c>
      <c r="U14" s="132">
        <v>0</v>
      </c>
      <c r="V14" s="132"/>
      <c r="W14" s="132">
        <v>290227</v>
      </c>
      <c r="X14" s="551" t="s">
        <v>1077</v>
      </c>
      <c r="Y14" s="132"/>
      <c r="Z14" s="132"/>
      <c r="AA14" s="132">
        <v>290227</v>
      </c>
      <c r="AB14" s="132"/>
      <c r="AC14" s="132"/>
      <c r="AD14" s="132"/>
      <c r="AE14" s="132"/>
      <c r="AF14" s="132"/>
      <c r="AG14" s="132"/>
      <c r="AH14" s="132"/>
      <c r="AI14" s="132">
        <v>290227</v>
      </c>
      <c r="AJ14" s="132">
        <v>0</v>
      </c>
      <c r="AK14" s="132">
        <v>0</v>
      </c>
      <c r="AL14" s="132"/>
      <c r="AM14" s="132">
        <v>290227</v>
      </c>
      <c r="AN14" s="132">
        <f t="shared" ref="AN14:AN34" si="8">AH14-AO14-AP14</f>
        <v>0</v>
      </c>
      <c r="AO14" s="132"/>
      <c r="AP14" s="132"/>
      <c r="AQ14" s="374"/>
      <c r="AR14" s="374"/>
      <c r="AS14" s="374"/>
      <c r="AT14" s="374"/>
      <c r="AU14" s="374"/>
      <c r="AV14" s="374"/>
      <c r="AW14" s="374"/>
      <c r="AX14" s="374"/>
      <c r="AY14" s="552"/>
      <c r="AZ14" s="552"/>
      <c r="BA14" s="552"/>
      <c r="BB14" s="552"/>
      <c r="BC14" s="552"/>
      <c r="BD14" s="552"/>
      <c r="BE14" s="552"/>
      <c r="BF14" s="552"/>
      <c r="BG14" s="135"/>
      <c r="BJ14" s="135"/>
      <c r="BK14" s="135"/>
      <c r="BL14" s="135"/>
      <c r="BM14" s="395"/>
      <c r="BN14" s="395"/>
      <c r="BO14" s="395"/>
      <c r="BP14" s="395"/>
      <c r="BQ14" s="395"/>
      <c r="BR14" s="395"/>
      <c r="BS14" s="395"/>
      <c r="BT14" s="395"/>
      <c r="BU14" s="395"/>
    </row>
    <row r="15" spans="1:73" s="553" customFormat="1" ht="31.95" customHeight="1">
      <c r="A15" s="398" t="s">
        <v>1078</v>
      </c>
      <c r="B15" s="541" t="s">
        <v>1079</v>
      </c>
      <c r="C15" s="549">
        <f t="shared" ref="C15:C27" si="9">C14+1</f>
        <v>5</v>
      </c>
      <c r="D15" s="549">
        <v>1723</v>
      </c>
      <c r="E15" s="550" t="s">
        <v>28</v>
      </c>
      <c r="F15" s="132">
        <f>2378521-200000</f>
        <v>2178521</v>
      </c>
      <c r="G15" s="132">
        <v>2378521</v>
      </c>
      <c r="H15" s="132">
        <f t="shared" si="2"/>
        <v>-200000</v>
      </c>
      <c r="I15" s="132">
        <v>2442857</v>
      </c>
      <c r="J15" s="132">
        <v>1592678</v>
      </c>
      <c r="K15" s="132"/>
      <c r="L15" s="132"/>
      <c r="M15" s="132">
        <f t="shared" si="3"/>
        <v>0</v>
      </c>
      <c r="N15" s="132">
        <f t="shared" si="4"/>
        <v>1592678</v>
      </c>
      <c r="O15" s="132">
        <f>-200000+850179-64336</f>
        <v>585843</v>
      </c>
      <c r="P15" s="132">
        <f t="shared" si="5"/>
        <v>0</v>
      </c>
      <c r="Q15" s="132">
        <f t="shared" si="6"/>
        <v>850179</v>
      </c>
      <c r="R15" s="132">
        <f t="shared" si="7"/>
        <v>-264336</v>
      </c>
      <c r="S15" s="132">
        <v>-64336</v>
      </c>
      <c r="T15" s="132">
        <v>-200000</v>
      </c>
      <c r="U15" s="132">
        <v>-200000</v>
      </c>
      <c r="V15" s="132"/>
      <c r="W15" s="132"/>
      <c r="X15" s="551" t="s">
        <v>1081</v>
      </c>
      <c r="Y15" s="132"/>
      <c r="Z15" s="132"/>
      <c r="AA15" s="132">
        <v>-200000</v>
      </c>
      <c r="AB15" s="132"/>
      <c r="AC15" s="132"/>
      <c r="AD15" s="132"/>
      <c r="AE15" s="132"/>
      <c r="AF15" s="132"/>
      <c r="AG15" s="132"/>
      <c r="AH15" s="132"/>
      <c r="AI15" s="132">
        <v>-200000</v>
      </c>
      <c r="AJ15" s="132">
        <v>0</v>
      </c>
      <c r="AK15" s="132">
        <v>-200000</v>
      </c>
      <c r="AL15" s="132"/>
      <c r="AM15" s="132"/>
      <c r="AN15" s="132">
        <f t="shared" si="8"/>
        <v>0</v>
      </c>
      <c r="AO15" s="132"/>
      <c r="AP15" s="132"/>
      <c r="AQ15" s="374"/>
      <c r="AR15" s="374"/>
      <c r="AS15" s="374"/>
      <c r="AT15" s="374"/>
      <c r="AU15" s="374"/>
      <c r="AV15" s="374"/>
      <c r="AW15" s="374"/>
      <c r="AX15" s="374"/>
      <c r="AY15" s="552"/>
      <c r="AZ15" s="552"/>
      <c r="BA15" s="552"/>
      <c r="BB15" s="552"/>
      <c r="BC15" s="552"/>
      <c r="BD15" s="552"/>
      <c r="BE15" s="552"/>
      <c r="BF15" s="552"/>
      <c r="BG15" s="135"/>
      <c r="BJ15" s="135"/>
      <c r="BK15" s="135"/>
      <c r="BL15" s="135"/>
      <c r="BM15" s="395"/>
      <c r="BN15" s="395"/>
      <c r="BO15" s="395"/>
      <c r="BP15" s="395"/>
      <c r="BQ15" s="395"/>
      <c r="BR15" s="395"/>
      <c r="BS15" s="395"/>
      <c r="BT15" s="395"/>
      <c r="BU15" s="395"/>
    </row>
    <row r="16" spans="1:73" s="553" customFormat="1" ht="31.95" customHeight="1">
      <c r="A16" s="398" t="s">
        <v>1078</v>
      </c>
      <c r="B16" s="541" t="s">
        <v>1079</v>
      </c>
      <c r="C16" s="549">
        <f t="shared" si="9"/>
        <v>6</v>
      </c>
      <c r="D16" s="549">
        <v>2206</v>
      </c>
      <c r="E16" s="550" t="s">
        <v>546</v>
      </c>
      <c r="F16" s="132">
        <v>4000000</v>
      </c>
      <c r="G16" s="132">
        <v>4000000</v>
      </c>
      <c r="H16" s="132">
        <f t="shared" si="2"/>
        <v>0</v>
      </c>
      <c r="I16" s="132">
        <v>1000000</v>
      </c>
      <c r="J16" s="132">
        <v>161971</v>
      </c>
      <c r="K16" s="132"/>
      <c r="L16" s="132"/>
      <c r="M16" s="132">
        <f t="shared" si="3"/>
        <v>0</v>
      </c>
      <c r="N16" s="132">
        <f t="shared" si="4"/>
        <v>161971</v>
      </c>
      <c r="O16" s="132">
        <f>900000+866551+838029</f>
        <v>2604580</v>
      </c>
      <c r="P16" s="132">
        <f t="shared" si="5"/>
        <v>1233449</v>
      </c>
      <c r="Q16" s="132">
        <f t="shared" si="6"/>
        <v>838029</v>
      </c>
      <c r="R16" s="132">
        <f t="shared" si="7"/>
        <v>1766551</v>
      </c>
      <c r="S16" s="132">
        <v>900000</v>
      </c>
      <c r="T16" s="132">
        <v>866551</v>
      </c>
      <c r="U16" s="132">
        <v>0</v>
      </c>
      <c r="V16" s="132"/>
      <c r="W16" s="132">
        <v>866551</v>
      </c>
      <c r="X16" s="551" t="s">
        <v>1077</v>
      </c>
      <c r="Y16" s="132"/>
      <c r="Z16" s="132"/>
      <c r="AA16" s="132">
        <v>866551</v>
      </c>
      <c r="AB16" s="132"/>
      <c r="AC16" s="132"/>
      <c r="AD16" s="132"/>
      <c r="AE16" s="132"/>
      <c r="AF16" s="132"/>
      <c r="AG16" s="132"/>
      <c r="AH16" s="132"/>
      <c r="AI16" s="132">
        <v>866551</v>
      </c>
      <c r="AJ16" s="132">
        <v>0</v>
      </c>
      <c r="AK16" s="132">
        <v>0</v>
      </c>
      <c r="AL16" s="132"/>
      <c r="AM16" s="132">
        <v>866551</v>
      </c>
      <c r="AN16" s="132">
        <f t="shared" si="8"/>
        <v>0</v>
      </c>
      <c r="AO16" s="132"/>
      <c r="AP16" s="132"/>
      <c r="AQ16" s="374"/>
      <c r="AR16" s="374"/>
      <c r="AS16" s="374"/>
      <c r="AT16" s="374"/>
      <c r="AU16" s="374"/>
      <c r="AV16" s="374"/>
      <c r="AW16" s="374"/>
      <c r="AX16" s="374"/>
      <c r="AY16" s="552"/>
      <c r="AZ16" s="552"/>
      <c r="BA16" s="552"/>
      <c r="BB16" s="552"/>
      <c r="BC16" s="552"/>
      <c r="BD16" s="552"/>
      <c r="BE16" s="552"/>
      <c r="BF16" s="552"/>
      <c r="BG16" s="135"/>
      <c r="BJ16" s="135"/>
      <c r="BK16" s="135"/>
      <c r="BL16" s="135"/>
      <c r="BM16" s="395"/>
      <c r="BN16" s="395"/>
      <c r="BO16" s="395"/>
      <c r="BP16" s="395"/>
      <c r="BQ16" s="395"/>
      <c r="BR16" s="395"/>
      <c r="BS16" s="395"/>
      <c r="BT16" s="395"/>
      <c r="BU16" s="395"/>
    </row>
    <row r="17" spans="1:74" s="553" customFormat="1" ht="31.95" customHeight="1">
      <c r="A17" s="398" t="s">
        <v>1078</v>
      </c>
      <c r="B17" s="541" t="s">
        <v>1079</v>
      </c>
      <c r="C17" s="549">
        <f t="shared" si="9"/>
        <v>7</v>
      </c>
      <c r="D17" s="549">
        <v>2182</v>
      </c>
      <c r="E17" s="550" t="s">
        <v>483</v>
      </c>
      <c r="F17" s="132">
        <v>2500000</v>
      </c>
      <c r="G17" s="132">
        <v>2500000</v>
      </c>
      <c r="H17" s="132">
        <f t="shared" si="2"/>
        <v>0</v>
      </c>
      <c r="I17" s="132">
        <v>2000000</v>
      </c>
      <c r="J17" s="132">
        <v>430550</v>
      </c>
      <c r="K17" s="132"/>
      <c r="L17" s="132"/>
      <c r="M17" s="132">
        <f t="shared" si="3"/>
        <v>0</v>
      </c>
      <c r="N17" s="132">
        <f t="shared" si="4"/>
        <v>430550</v>
      </c>
      <c r="O17" s="132">
        <f>1569450</f>
        <v>1569450</v>
      </c>
      <c r="P17" s="132">
        <f t="shared" si="5"/>
        <v>500000</v>
      </c>
      <c r="Q17" s="132">
        <f t="shared" si="6"/>
        <v>1569450</v>
      </c>
      <c r="R17" s="132">
        <f t="shared" si="7"/>
        <v>0</v>
      </c>
      <c r="S17" s="132"/>
      <c r="T17" s="132">
        <v>0</v>
      </c>
      <c r="U17" s="132">
        <v>-648188</v>
      </c>
      <c r="V17" s="132"/>
      <c r="W17" s="132">
        <v>648188</v>
      </c>
      <c r="X17" s="551" t="s">
        <v>1082</v>
      </c>
      <c r="Y17" s="132"/>
      <c r="Z17" s="132"/>
      <c r="AA17" s="557"/>
      <c r="AB17" s="132"/>
      <c r="AC17" s="132"/>
      <c r="AD17" s="132"/>
      <c r="AE17" s="132"/>
      <c r="AF17" s="132"/>
      <c r="AG17" s="132"/>
      <c r="AH17" s="132"/>
      <c r="AI17" s="132">
        <v>0</v>
      </c>
      <c r="AJ17" s="132">
        <v>0</v>
      </c>
      <c r="AK17" s="132">
        <v>-648188</v>
      </c>
      <c r="AL17" s="132"/>
      <c r="AM17" s="132">
        <v>648188</v>
      </c>
      <c r="AN17" s="132">
        <f t="shared" si="8"/>
        <v>0</v>
      </c>
      <c r="AO17" s="132"/>
      <c r="AP17" s="132"/>
      <c r="AQ17" s="374"/>
      <c r="AR17" s="374"/>
      <c r="AS17" s="374"/>
      <c r="AT17" s="374"/>
      <c r="AU17" s="374"/>
      <c r="AV17" s="374"/>
      <c r="AW17" s="374"/>
      <c r="AX17" s="374"/>
      <c r="AY17" s="552"/>
      <c r="AZ17" s="552"/>
      <c r="BA17" s="552"/>
      <c r="BB17" s="552"/>
      <c r="BC17" s="552"/>
      <c r="BD17" s="552"/>
      <c r="BE17" s="552"/>
      <c r="BF17" s="552"/>
      <c r="BG17" s="135"/>
      <c r="BJ17" s="135"/>
      <c r="BK17" s="135"/>
      <c r="BL17" s="135"/>
      <c r="BM17" s="395"/>
      <c r="BN17" s="395"/>
      <c r="BO17" s="395"/>
      <c r="BP17" s="395"/>
      <c r="BQ17" s="395"/>
      <c r="BR17" s="395"/>
      <c r="BS17" s="395"/>
      <c r="BT17" s="395"/>
      <c r="BU17" s="395"/>
    </row>
    <row r="18" spans="1:74" s="553" customFormat="1" ht="31.95" customHeight="1">
      <c r="A18" s="398" t="s">
        <v>1083</v>
      </c>
      <c r="B18" s="541" t="s">
        <v>1084</v>
      </c>
      <c r="C18" s="549">
        <f t="shared" si="9"/>
        <v>8</v>
      </c>
      <c r="D18" s="549">
        <v>2064</v>
      </c>
      <c r="E18" s="550" t="s">
        <v>224</v>
      </c>
      <c r="F18" s="132">
        <v>6281000</v>
      </c>
      <c r="G18" s="132">
        <v>6281000</v>
      </c>
      <c r="H18" s="132">
        <f t="shared" si="2"/>
        <v>0</v>
      </c>
      <c r="I18" s="132">
        <v>864000</v>
      </c>
      <c r="J18" s="132">
        <v>833705</v>
      </c>
      <c r="K18" s="132"/>
      <c r="L18" s="132"/>
      <c r="M18" s="132">
        <f t="shared" si="3"/>
        <v>0</v>
      </c>
      <c r="N18" s="132">
        <f t="shared" si="4"/>
        <v>833705</v>
      </c>
      <c r="O18" s="132">
        <v>1450000</v>
      </c>
      <c r="P18" s="132">
        <f t="shared" si="5"/>
        <v>3997295</v>
      </c>
      <c r="Q18" s="132">
        <f t="shared" si="6"/>
        <v>30295</v>
      </c>
      <c r="R18" s="132">
        <f t="shared" si="7"/>
        <v>1419705</v>
      </c>
      <c r="S18" s="132"/>
      <c r="T18" s="132">
        <v>1419705</v>
      </c>
      <c r="U18" s="132">
        <v>807448</v>
      </c>
      <c r="V18" s="132"/>
      <c r="W18" s="132">
        <v>612257</v>
      </c>
      <c r="X18" s="551" t="s">
        <v>1085</v>
      </c>
      <c r="Y18" s="132"/>
      <c r="Z18" s="132"/>
      <c r="AA18" s="132"/>
      <c r="AB18" s="132">
        <v>1419705</v>
      </c>
      <c r="AC18" s="132"/>
      <c r="AD18" s="132"/>
      <c r="AE18" s="132"/>
      <c r="AF18" s="132"/>
      <c r="AG18" s="132"/>
      <c r="AH18" s="132"/>
      <c r="AI18" s="132">
        <v>1419705</v>
      </c>
      <c r="AJ18" s="132">
        <v>0</v>
      </c>
      <c r="AK18" s="132">
        <v>807448</v>
      </c>
      <c r="AL18" s="132"/>
      <c r="AM18" s="132">
        <v>612257</v>
      </c>
      <c r="AN18" s="132">
        <f t="shared" si="8"/>
        <v>0</v>
      </c>
      <c r="AO18" s="132"/>
      <c r="AP18" s="132"/>
      <c r="AQ18" s="374"/>
      <c r="AR18" s="374"/>
      <c r="AS18" s="374"/>
      <c r="AT18" s="374"/>
      <c r="AU18" s="374"/>
      <c r="AV18" s="374"/>
      <c r="AW18" s="374"/>
      <c r="AX18" s="374"/>
      <c r="AY18" s="552"/>
      <c r="AZ18" s="552"/>
      <c r="BA18" s="552"/>
      <c r="BB18" s="552"/>
      <c r="BC18" s="552"/>
      <c r="BD18" s="552"/>
      <c r="BE18" s="552"/>
      <c r="BF18" s="552"/>
      <c r="BG18" s="135"/>
      <c r="BJ18" s="135"/>
      <c r="BK18" s="135"/>
      <c r="BL18" s="135"/>
      <c r="BM18" s="395"/>
      <c r="BN18" s="395"/>
      <c r="BO18" s="395"/>
      <c r="BP18" s="395"/>
      <c r="BQ18" s="395"/>
      <c r="BR18" s="395"/>
      <c r="BS18" s="395"/>
      <c r="BT18" s="395"/>
      <c r="BU18" s="395"/>
    </row>
    <row r="19" spans="1:74" s="553" customFormat="1" ht="31.95" customHeight="1">
      <c r="A19" s="398" t="s">
        <v>1086</v>
      </c>
      <c r="B19" s="541" t="s">
        <v>1087</v>
      </c>
      <c r="C19" s="549">
        <f t="shared" si="9"/>
        <v>9</v>
      </c>
      <c r="D19" s="549">
        <v>2097</v>
      </c>
      <c r="E19" s="550" t="s">
        <v>278</v>
      </c>
      <c r="F19" s="132">
        <v>79000000</v>
      </c>
      <c r="G19" s="132">
        <v>79000000</v>
      </c>
      <c r="H19" s="132">
        <f t="shared" si="2"/>
        <v>0</v>
      </c>
      <c r="I19" s="132">
        <v>6000000</v>
      </c>
      <c r="J19" s="132">
        <v>2498655</v>
      </c>
      <c r="K19" s="132"/>
      <c r="L19" s="132"/>
      <c r="M19" s="132"/>
      <c r="N19" s="132">
        <f t="shared" si="4"/>
        <v>2498655</v>
      </c>
      <c r="O19" s="132">
        <v>21620962</v>
      </c>
      <c r="P19" s="132">
        <f t="shared" si="5"/>
        <v>54880383</v>
      </c>
      <c r="Q19" s="132">
        <f t="shared" si="6"/>
        <v>3501345</v>
      </c>
      <c r="R19" s="132">
        <f t="shared" si="7"/>
        <v>18119617</v>
      </c>
      <c r="S19" s="132">
        <v>290227</v>
      </c>
      <c r="T19" s="132">
        <v>17829390</v>
      </c>
      <c r="U19" s="132">
        <v>0</v>
      </c>
      <c r="V19" s="132"/>
      <c r="W19" s="132">
        <v>17829390</v>
      </c>
      <c r="X19" s="551" t="s">
        <v>1088</v>
      </c>
      <c r="Y19" s="132"/>
      <c r="Z19" s="132"/>
      <c r="AA19" s="132"/>
      <c r="AB19" s="132"/>
      <c r="AC19" s="132">
        <v>17829390</v>
      </c>
      <c r="AD19" s="132"/>
      <c r="AE19" s="132"/>
      <c r="AF19" s="132"/>
      <c r="AG19" s="132"/>
      <c r="AH19" s="132"/>
      <c r="AI19" s="132">
        <v>17829390</v>
      </c>
      <c r="AJ19" s="132">
        <v>0</v>
      </c>
      <c r="AK19" s="132">
        <v>0</v>
      </c>
      <c r="AL19" s="132"/>
      <c r="AM19" s="132">
        <v>17829390</v>
      </c>
      <c r="AN19" s="132">
        <f t="shared" si="8"/>
        <v>0</v>
      </c>
      <c r="AO19" s="132"/>
      <c r="AP19" s="132"/>
      <c r="AQ19" s="374"/>
      <c r="AR19" s="374"/>
      <c r="AS19" s="374"/>
      <c r="AT19" s="374"/>
      <c r="AU19" s="374"/>
      <c r="AV19" s="374"/>
      <c r="AW19" s="374"/>
      <c r="AX19" s="374"/>
      <c r="AY19" s="552"/>
      <c r="AZ19" s="552"/>
      <c r="BA19" s="552"/>
      <c r="BB19" s="552"/>
      <c r="BC19" s="552"/>
      <c r="BD19" s="552"/>
      <c r="BE19" s="552"/>
      <c r="BF19" s="552"/>
      <c r="BG19" s="135"/>
      <c r="BJ19" s="135"/>
      <c r="BK19" s="135"/>
      <c r="BL19" s="135"/>
      <c r="BM19" s="395"/>
      <c r="BN19" s="395"/>
      <c r="BO19" s="395"/>
      <c r="BP19" s="395"/>
      <c r="BQ19" s="395"/>
      <c r="BR19" s="395"/>
      <c r="BS19" s="395"/>
      <c r="BT19" s="395"/>
      <c r="BU19" s="395"/>
    </row>
    <row r="20" spans="1:74" s="553" customFormat="1" ht="31.95" customHeight="1">
      <c r="A20" s="398" t="s">
        <v>1086</v>
      </c>
      <c r="B20" s="541" t="s">
        <v>1087</v>
      </c>
      <c r="C20" s="549">
        <f t="shared" si="9"/>
        <v>10</v>
      </c>
      <c r="D20" s="549">
        <v>2209</v>
      </c>
      <c r="E20" s="550" t="s">
        <v>549</v>
      </c>
      <c r="F20" s="132">
        <v>46500000</v>
      </c>
      <c r="G20" s="132">
        <v>46500000</v>
      </c>
      <c r="H20" s="132">
        <f t="shared" si="2"/>
        <v>0</v>
      </c>
      <c r="I20" s="132">
        <v>500000</v>
      </c>
      <c r="J20" s="132">
        <v>119631</v>
      </c>
      <c r="K20" s="132"/>
      <c r="L20" s="132"/>
      <c r="M20" s="132"/>
      <c r="N20" s="132">
        <f t="shared" si="4"/>
        <v>119631</v>
      </c>
      <c r="O20" s="132">
        <v>1380369</v>
      </c>
      <c r="P20" s="132">
        <f t="shared" si="5"/>
        <v>45000000</v>
      </c>
      <c r="Q20" s="132">
        <f t="shared" si="6"/>
        <v>380369</v>
      </c>
      <c r="R20" s="132">
        <f t="shared" si="7"/>
        <v>1000000</v>
      </c>
      <c r="S20" s="132">
        <v>1000000</v>
      </c>
      <c r="T20" s="132">
        <v>0</v>
      </c>
      <c r="U20" s="132">
        <v>-311784</v>
      </c>
      <c r="V20" s="132"/>
      <c r="W20" s="132">
        <v>311784</v>
      </c>
      <c r="X20" s="551" t="s">
        <v>1089</v>
      </c>
      <c r="Y20" s="132"/>
      <c r="Z20" s="132"/>
      <c r="AA20" s="132"/>
      <c r="AB20" s="132"/>
      <c r="AC20" s="557"/>
      <c r="AD20" s="132"/>
      <c r="AE20" s="132"/>
      <c r="AF20" s="132"/>
      <c r="AG20" s="132"/>
      <c r="AH20" s="132"/>
      <c r="AI20" s="132">
        <v>0</v>
      </c>
      <c r="AJ20" s="132">
        <v>0</v>
      </c>
      <c r="AK20" s="132">
        <v>-311784</v>
      </c>
      <c r="AL20" s="132"/>
      <c r="AM20" s="132">
        <v>311784</v>
      </c>
      <c r="AN20" s="132">
        <f t="shared" si="8"/>
        <v>0</v>
      </c>
      <c r="AO20" s="132"/>
      <c r="AP20" s="132"/>
      <c r="AQ20" s="374"/>
      <c r="AR20" s="374"/>
      <c r="AS20" s="374"/>
      <c r="AT20" s="374"/>
      <c r="AU20" s="374"/>
      <c r="AV20" s="374"/>
      <c r="AW20" s="374"/>
      <c r="AX20" s="374"/>
      <c r="AY20" s="552"/>
      <c r="AZ20" s="552"/>
      <c r="BA20" s="552"/>
      <c r="BB20" s="552"/>
      <c r="BC20" s="552"/>
      <c r="BD20" s="552"/>
      <c r="BE20" s="552"/>
      <c r="BF20" s="552"/>
      <c r="BG20" s="135"/>
      <c r="BJ20" s="135"/>
      <c r="BK20" s="135"/>
      <c r="BL20" s="135"/>
      <c r="BM20" s="395"/>
      <c r="BN20" s="395"/>
      <c r="BO20" s="395"/>
      <c r="BP20" s="395"/>
      <c r="BQ20" s="395"/>
      <c r="BR20" s="395"/>
      <c r="BS20" s="395"/>
      <c r="BT20" s="395"/>
      <c r="BU20" s="395"/>
    </row>
    <row r="21" spans="1:74" s="553" customFormat="1" ht="31.95" customHeight="1">
      <c r="A21" s="398" t="s">
        <v>1086</v>
      </c>
      <c r="B21" s="541" t="s">
        <v>1087</v>
      </c>
      <c r="C21" s="549">
        <f t="shared" si="9"/>
        <v>11</v>
      </c>
      <c r="D21" s="549">
        <v>20024</v>
      </c>
      <c r="E21" s="550" t="s">
        <v>1090</v>
      </c>
      <c r="F21" s="132">
        <v>1300000</v>
      </c>
      <c r="G21" s="132">
        <v>800000</v>
      </c>
      <c r="H21" s="132">
        <f t="shared" si="2"/>
        <v>500000</v>
      </c>
      <c r="I21" s="132"/>
      <c r="J21" s="132"/>
      <c r="K21" s="132"/>
      <c r="L21" s="132"/>
      <c r="M21" s="132"/>
      <c r="N21" s="132">
        <f t="shared" si="4"/>
        <v>0</v>
      </c>
      <c r="O21" s="132">
        <v>1300000</v>
      </c>
      <c r="P21" s="132">
        <f t="shared" si="5"/>
        <v>0</v>
      </c>
      <c r="Q21" s="132">
        <f t="shared" si="6"/>
        <v>0</v>
      </c>
      <c r="R21" s="132">
        <f t="shared" si="7"/>
        <v>1300000</v>
      </c>
      <c r="S21" s="132">
        <v>400000</v>
      </c>
      <c r="T21" s="132">
        <v>900000</v>
      </c>
      <c r="U21" s="132">
        <v>0</v>
      </c>
      <c r="V21" s="132">
        <v>900000</v>
      </c>
      <c r="W21" s="132"/>
      <c r="X21" s="551" t="s">
        <v>1091</v>
      </c>
      <c r="Y21" s="132"/>
      <c r="Z21" s="132"/>
      <c r="AA21" s="132"/>
      <c r="AB21" s="132"/>
      <c r="AC21" s="132">
        <v>900000</v>
      </c>
      <c r="AD21" s="132"/>
      <c r="AE21" s="132"/>
      <c r="AF21" s="132"/>
      <c r="AG21" s="132"/>
      <c r="AH21" s="132"/>
      <c r="AI21" s="132">
        <v>900000</v>
      </c>
      <c r="AJ21" s="132">
        <v>0</v>
      </c>
      <c r="AK21" s="132">
        <v>0</v>
      </c>
      <c r="AL21" s="132">
        <v>900000</v>
      </c>
      <c r="AM21" s="132"/>
      <c r="AN21" s="132">
        <f t="shared" si="8"/>
        <v>0</v>
      </c>
      <c r="AO21" s="132"/>
      <c r="AP21" s="132"/>
      <c r="AQ21" s="374"/>
      <c r="AR21" s="374"/>
      <c r="AS21" s="374"/>
      <c r="AT21" s="374"/>
      <c r="AU21" s="374"/>
      <c r="AV21" s="374"/>
      <c r="AW21" s="374"/>
      <c r="AX21" s="374"/>
      <c r="AY21" s="552"/>
      <c r="AZ21" s="552"/>
      <c r="BA21" s="552"/>
      <c r="BB21" s="552"/>
      <c r="BC21" s="552"/>
      <c r="BD21" s="552"/>
      <c r="BE21" s="552"/>
      <c r="BF21" s="552"/>
      <c r="BG21" s="135"/>
      <c r="BJ21" s="135"/>
      <c r="BK21" s="135"/>
      <c r="BL21" s="135"/>
      <c r="BM21" s="395"/>
      <c r="BN21" s="395"/>
      <c r="BO21" s="395"/>
      <c r="BP21" s="395"/>
      <c r="BQ21" s="395"/>
      <c r="BR21" s="395"/>
      <c r="BS21" s="395"/>
      <c r="BT21" s="395"/>
      <c r="BU21" s="395"/>
    </row>
    <row r="22" spans="1:74" s="553" customFormat="1" ht="31.95" customHeight="1">
      <c r="A22" s="398" t="s">
        <v>1086</v>
      </c>
      <c r="B22" s="541" t="s">
        <v>1087</v>
      </c>
      <c r="C22" s="549">
        <f t="shared" si="9"/>
        <v>12</v>
      </c>
      <c r="D22" s="549">
        <v>20017</v>
      </c>
      <c r="E22" s="550" t="s">
        <v>803</v>
      </c>
      <c r="F22" s="132">
        <v>10000000</v>
      </c>
      <c r="G22" s="132">
        <v>500000</v>
      </c>
      <c r="H22" s="132">
        <f t="shared" si="2"/>
        <v>9500000</v>
      </c>
      <c r="I22" s="132"/>
      <c r="J22" s="132"/>
      <c r="K22" s="132"/>
      <c r="L22" s="132"/>
      <c r="M22" s="132"/>
      <c r="N22" s="132">
        <f t="shared" si="4"/>
        <v>0</v>
      </c>
      <c r="O22" s="132">
        <v>350000</v>
      </c>
      <c r="P22" s="132">
        <f t="shared" si="5"/>
        <v>9650000</v>
      </c>
      <c r="Q22" s="132">
        <f t="shared" si="6"/>
        <v>0</v>
      </c>
      <c r="R22" s="132">
        <f t="shared" si="7"/>
        <v>350000</v>
      </c>
      <c r="S22" s="132">
        <v>100000</v>
      </c>
      <c r="T22" s="132">
        <v>250000</v>
      </c>
      <c r="U22" s="132">
        <v>250000</v>
      </c>
      <c r="V22" s="132"/>
      <c r="W22" s="132"/>
      <c r="X22" s="551" t="s">
        <v>1092</v>
      </c>
      <c r="Y22" s="132"/>
      <c r="Z22" s="132"/>
      <c r="AA22" s="132"/>
      <c r="AB22" s="132"/>
      <c r="AC22" s="132">
        <v>250000</v>
      </c>
      <c r="AD22" s="132"/>
      <c r="AE22" s="132"/>
      <c r="AF22" s="132"/>
      <c r="AG22" s="132"/>
      <c r="AH22" s="132"/>
      <c r="AI22" s="132">
        <v>250000</v>
      </c>
      <c r="AJ22" s="132">
        <v>0</v>
      </c>
      <c r="AK22" s="132">
        <v>250000</v>
      </c>
      <c r="AL22" s="132"/>
      <c r="AM22" s="132"/>
      <c r="AN22" s="132">
        <f t="shared" si="8"/>
        <v>0</v>
      </c>
      <c r="AO22" s="132"/>
      <c r="AP22" s="132"/>
      <c r="AQ22" s="374"/>
      <c r="AR22" s="374"/>
      <c r="AS22" s="374"/>
      <c r="AT22" s="374"/>
      <c r="AU22" s="374"/>
      <c r="AV22" s="374"/>
      <c r="AW22" s="374"/>
      <c r="AX22" s="374"/>
      <c r="AY22" s="552"/>
      <c r="AZ22" s="552"/>
      <c r="BA22" s="552"/>
      <c r="BB22" s="552"/>
      <c r="BC22" s="552"/>
      <c r="BD22" s="552"/>
      <c r="BE22" s="552"/>
      <c r="BF22" s="552"/>
      <c r="BG22" s="135"/>
      <c r="BJ22" s="135"/>
      <c r="BK22" s="135"/>
      <c r="BL22" s="135"/>
      <c r="BM22" s="395"/>
      <c r="BN22" s="395"/>
      <c r="BO22" s="395"/>
      <c r="BP22" s="395"/>
      <c r="BQ22" s="395"/>
      <c r="BR22" s="395"/>
      <c r="BS22" s="395"/>
      <c r="BT22" s="395"/>
      <c r="BU22" s="395"/>
    </row>
    <row r="23" spans="1:74" s="553" customFormat="1" ht="31.95" customHeight="1">
      <c r="A23" s="398" t="s">
        <v>1070</v>
      </c>
      <c r="B23" s="541" t="s">
        <v>1071</v>
      </c>
      <c r="C23" s="549">
        <f t="shared" si="9"/>
        <v>13</v>
      </c>
      <c r="D23" s="549">
        <v>2174</v>
      </c>
      <c r="E23" s="550" t="s">
        <v>480</v>
      </c>
      <c r="F23" s="132">
        <f>1050000+9548992</f>
        <v>10598992</v>
      </c>
      <c r="G23" s="132">
        <v>9548992</v>
      </c>
      <c r="H23" s="132">
        <f t="shared" si="2"/>
        <v>1050000</v>
      </c>
      <c r="I23" s="132">
        <v>9548992</v>
      </c>
      <c r="J23" s="132">
        <v>9381168</v>
      </c>
      <c r="K23" s="132"/>
      <c r="L23" s="132"/>
      <c r="M23" s="132"/>
      <c r="N23" s="132">
        <f t="shared" si="4"/>
        <v>9381168</v>
      </c>
      <c r="O23" s="132">
        <f>1050000+167824</f>
        <v>1217824</v>
      </c>
      <c r="P23" s="132">
        <f t="shared" si="5"/>
        <v>0</v>
      </c>
      <c r="Q23" s="132">
        <f t="shared" si="6"/>
        <v>167824</v>
      </c>
      <c r="R23" s="132">
        <f t="shared" si="7"/>
        <v>1050000</v>
      </c>
      <c r="S23" s="132"/>
      <c r="T23" s="132">
        <v>1050000</v>
      </c>
      <c r="U23" s="132">
        <v>1050000</v>
      </c>
      <c r="V23" s="132"/>
      <c r="W23" s="132"/>
      <c r="X23" s="551" t="s">
        <v>1093</v>
      </c>
      <c r="Y23" s="132"/>
      <c r="Z23" s="132"/>
      <c r="AA23" s="132"/>
      <c r="AB23" s="132"/>
      <c r="AC23" s="132"/>
      <c r="AD23" s="132">
        <v>1050000</v>
      </c>
      <c r="AE23" s="132"/>
      <c r="AF23" s="132"/>
      <c r="AG23" s="132"/>
      <c r="AH23" s="132"/>
      <c r="AI23" s="132">
        <v>1050000</v>
      </c>
      <c r="AJ23" s="132">
        <v>0</v>
      </c>
      <c r="AK23" s="132">
        <v>1050000</v>
      </c>
      <c r="AL23" s="132"/>
      <c r="AM23" s="132"/>
      <c r="AN23" s="132">
        <f t="shared" si="8"/>
        <v>0</v>
      </c>
      <c r="AO23" s="132"/>
      <c r="AP23" s="132"/>
      <c r="AQ23" s="374"/>
      <c r="AR23" s="374"/>
      <c r="AS23" s="374"/>
      <c r="AT23" s="374"/>
      <c r="AU23" s="374"/>
      <c r="AV23" s="374"/>
      <c r="AW23" s="374"/>
      <c r="AX23" s="374"/>
      <c r="AY23" s="552"/>
      <c r="AZ23" s="552"/>
      <c r="BA23" s="552"/>
      <c r="BB23" s="552"/>
      <c r="BC23" s="552"/>
      <c r="BD23" s="552"/>
      <c r="BE23" s="552"/>
      <c r="BF23" s="552"/>
      <c r="BG23" s="135"/>
      <c r="BJ23" s="135"/>
      <c r="BK23" s="135"/>
      <c r="BL23" s="135"/>
      <c r="BM23" s="395"/>
      <c r="BN23" s="395"/>
      <c r="BO23" s="395"/>
      <c r="BP23" s="395"/>
      <c r="BQ23" s="395"/>
      <c r="BR23" s="395"/>
      <c r="BS23" s="395"/>
      <c r="BT23" s="395"/>
      <c r="BU23" s="395"/>
    </row>
    <row r="24" spans="1:74" s="553" customFormat="1" ht="31.95" customHeight="1">
      <c r="A24" s="398" t="s">
        <v>1070</v>
      </c>
      <c r="B24" s="541" t="s">
        <v>1071</v>
      </c>
      <c r="C24" s="549">
        <f t="shared" si="9"/>
        <v>14</v>
      </c>
      <c r="D24" s="549">
        <v>1965</v>
      </c>
      <c r="E24" s="550" t="s">
        <v>1094</v>
      </c>
      <c r="F24" s="132">
        <v>35000000</v>
      </c>
      <c r="G24" s="132">
        <v>35000000</v>
      </c>
      <c r="H24" s="132">
        <f t="shared" si="2"/>
        <v>0</v>
      </c>
      <c r="I24" s="132">
        <v>2100000</v>
      </c>
      <c r="J24" s="132">
        <v>221274</v>
      </c>
      <c r="K24" s="132"/>
      <c r="L24" s="132"/>
      <c r="M24" s="132"/>
      <c r="N24" s="132">
        <f t="shared" si="4"/>
        <v>221274</v>
      </c>
      <c r="O24" s="132">
        <v>1878726</v>
      </c>
      <c r="P24" s="132">
        <f t="shared" si="5"/>
        <v>32900000</v>
      </c>
      <c r="Q24" s="132">
        <f t="shared" si="6"/>
        <v>1878726</v>
      </c>
      <c r="R24" s="132">
        <f t="shared" si="7"/>
        <v>0</v>
      </c>
      <c r="S24" s="132"/>
      <c r="T24" s="132">
        <v>0</v>
      </c>
      <c r="U24" s="132">
        <v>-479586</v>
      </c>
      <c r="V24" s="132"/>
      <c r="W24" s="132">
        <v>479586</v>
      </c>
      <c r="X24" s="551" t="s">
        <v>1095</v>
      </c>
      <c r="Y24" s="132"/>
      <c r="Z24" s="132"/>
      <c r="AA24" s="132"/>
      <c r="AB24" s="132"/>
      <c r="AC24" s="132"/>
      <c r="AD24" s="557"/>
      <c r="AE24" s="132"/>
      <c r="AF24" s="132"/>
      <c r="AG24" s="132"/>
      <c r="AH24" s="132"/>
      <c r="AI24" s="132">
        <v>0</v>
      </c>
      <c r="AJ24" s="132">
        <v>0</v>
      </c>
      <c r="AK24" s="132">
        <v>-479586</v>
      </c>
      <c r="AL24" s="132"/>
      <c r="AM24" s="132">
        <v>479586</v>
      </c>
      <c r="AN24" s="132">
        <f t="shared" si="8"/>
        <v>0</v>
      </c>
      <c r="AO24" s="132"/>
      <c r="AP24" s="132"/>
      <c r="AQ24" s="374"/>
      <c r="AR24" s="374"/>
      <c r="AS24" s="374"/>
      <c r="AT24" s="374"/>
      <c r="AU24" s="374"/>
      <c r="AV24" s="374"/>
      <c r="AW24" s="374"/>
      <c r="AX24" s="374"/>
      <c r="AY24" s="552"/>
      <c r="AZ24" s="552"/>
      <c r="BA24" s="552"/>
      <c r="BB24" s="552"/>
      <c r="BC24" s="552"/>
      <c r="BD24" s="552"/>
      <c r="BE24" s="552"/>
      <c r="BF24" s="552"/>
      <c r="BG24" s="135"/>
      <c r="BJ24" s="135"/>
      <c r="BK24" s="135"/>
      <c r="BL24" s="135"/>
      <c r="BM24" s="395"/>
      <c r="BN24" s="395"/>
      <c r="BO24" s="395"/>
      <c r="BP24" s="395"/>
      <c r="BQ24" s="395"/>
      <c r="BR24" s="395"/>
      <c r="BS24" s="395"/>
      <c r="BT24" s="395"/>
      <c r="BU24" s="395"/>
    </row>
    <row r="25" spans="1:74" s="553" customFormat="1" ht="31.95" customHeight="1">
      <c r="A25" s="398" t="s">
        <v>1070</v>
      </c>
      <c r="B25" s="541" t="s">
        <v>1071</v>
      </c>
      <c r="C25" s="549">
        <f t="shared" si="9"/>
        <v>15</v>
      </c>
      <c r="D25" s="549">
        <v>1314</v>
      </c>
      <c r="E25" s="550" t="s">
        <v>42</v>
      </c>
      <c r="F25" s="132">
        <f>3200000+2000000</f>
        <v>5200000</v>
      </c>
      <c r="G25" s="132">
        <v>3200000</v>
      </c>
      <c r="H25" s="132">
        <f t="shared" si="2"/>
        <v>2000000</v>
      </c>
      <c r="I25" s="132">
        <v>660000</v>
      </c>
      <c r="J25" s="132">
        <v>656231.49</v>
      </c>
      <c r="K25" s="132"/>
      <c r="L25" s="132"/>
      <c r="M25" s="132"/>
      <c r="N25" s="132">
        <f t="shared" si="4"/>
        <v>656231.49</v>
      </c>
      <c r="O25" s="132">
        <f>1000000+1540000+3769</f>
        <v>2543769</v>
      </c>
      <c r="P25" s="132">
        <f t="shared" si="5"/>
        <v>1999999.5099999998</v>
      </c>
      <c r="Q25" s="132">
        <f t="shared" si="6"/>
        <v>3768.5100000000093</v>
      </c>
      <c r="R25" s="132">
        <f t="shared" si="7"/>
        <v>2540000.4900000002</v>
      </c>
      <c r="S25" s="132">
        <v>1000000</v>
      </c>
      <c r="T25" s="132">
        <v>1540000.4900000002</v>
      </c>
      <c r="U25" s="132">
        <v>1540000.4900000002</v>
      </c>
      <c r="V25" s="132"/>
      <c r="W25" s="132"/>
      <c r="X25" s="551" t="s">
        <v>1096</v>
      </c>
      <c r="Y25" s="132"/>
      <c r="Z25" s="132"/>
      <c r="AA25" s="132"/>
      <c r="AB25" s="132"/>
      <c r="AC25" s="132"/>
      <c r="AD25" s="132">
        <v>1540000</v>
      </c>
      <c r="AE25" s="132"/>
      <c r="AF25" s="132"/>
      <c r="AG25" s="132"/>
      <c r="AH25" s="132"/>
      <c r="AI25" s="132">
        <v>1540000</v>
      </c>
      <c r="AJ25" s="132">
        <v>0.49000000022351742</v>
      </c>
      <c r="AK25" s="132">
        <v>1540000</v>
      </c>
      <c r="AL25" s="132"/>
      <c r="AM25" s="132"/>
      <c r="AN25" s="132">
        <f t="shared" si="8"/>
        <v>0</v>
      </c>
      <c r="AO25" s="132"/>
      <c r="AP25" s="132"/>
      <c r="AQ25" s="374"/>
      <c r="AR25" s="374"/>
      <c r="AS25" s="374"/>
      <c r="AT25" s="374"/>
      <c r="AU25" s="374"/>
      <c r="AV25" s="374"/>
      <c r="AW25" s="374"/>
      <c r="AX25" s="374"/>
      <c r="AY25" s="552"/>
      <c r="AZ25" s="552"/>
      <c r="BA25" s="552"/>
      <c r="BB25" s="552"/>
      <c r="BC25" s="552"/>
      <c r="BD25" s="552"/>
      <c r="BE25" s="552"/>
      <c r="BF25" s="552"/>
      <c r="BG25" s="135"/>
      <c r="BJ25" s="135"/>
      <c r="BK25" s="135"/>
      <c r="BL25" s="135"/>
      <c r="BM25" s="395"/>
      <c r="BN25" s="395"/>
      <c r="BO25" s="395"/>
      <c r="BP25" s="395"/>
      <c r="BQ25" s="395"/>
      <c r="BR25" s="395"/>
      <c r="BS25" s="395"/>
      <c r="BT25" s="395"/>
      <c r="BU25" s="395"/>
    </row>
    <row r="26" spans="1:74" s="553" customFormat="1" ht="31.95" customHeight="1">
      <c r="A26" s="398" t="s">
        <v>1070</v>
      </c>
      <c r="B26" s="541" t="s">
        <v>1071</v>
      </c>
      <c r="C26" s="549">
        <f t="shared" si="9"/>
        <v>16</v>
      </c>
      <c r="D26" s="549">
        <v>1588</v>
      </c>
      <c r="E26" s="550" t="s">
        <v>25</v>
      </c>
      <c r="F26" s="132">
        <v>50500000</v>
      </c>
      <c r="G26" s="132">
        <v>50500000</v>
      </c>
      <c r="H26" s="132">
        <f t="shared" si="2"/>
        <v>0</v>
      </c>
      <c r="I26" s="132">
        <v>45500000</v>
      </c>
      <c r="J26" s="132">
        <v>36326565.32</v>
      </c>
      <c r="K26" s="132"/>
      <c r="L26" s="132"/>
      <c r="M26" s="132"/>
      <c r="N26" s="132">
        <f t="shared" si="4"/>
        <v>36326565.32</v>
      </c>
      <c r="O26" s="132">
        <f>4000000-2000000+9173434.68</f>
        <v>11173434.68</v>
      </c>
      <c r="P26" s="132">
        <f t="shared" si="5"/>
        <v>3000000</v>
      </c>
      <c r="Q26" s="132">
        <f t="shared" si="6"/>
        <v>9173434.6799999997</v>
      </c>
      <c r="R26" s="132">
        <f t="shared" si="7"/>
        <v>2000000</v>
      </c>
      <c r="S26" s="132">
        <v>4000000</v>
      </c>
      <c r="T26" s="132">
        <v>-2000000</v>
      </c>
      <c r="U26" s="132">
        <v>-2000000</v>
      </c>
      <c r="V26" s="132"/>
      <c r="W26" s="132"/>
      <c r="X26" s="551" t="s">
        <v>1097</v>
      </c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>
        <v>0</v>
      </c>
      <c r="AJ26" s="132">
        <v>-2000000</v>
      </c>
      <c r="AK26" s="132">
        <v>0</v>
      </c>
      <c r="AL26" s="132"/>
      <c r="AM26" s="132"/>
      <c r="AN26" s="132">
        <f t="shared" si="8"/>
        <v>0</v>
      </c>
      <c r="AO26" s="132"/>
      <c r="AP26" s="132"/>
      <c r="AQ26" s="374"/>
      <c r="AR26" s="374"/>
      <c r="AS26" s="374"/>
      <c r="AT26" s="374"/>
      <c r="AU26" s="374"/>
      <c r="AV26" s="374"/>
      <c r="AW26" s="374"/>
      <c r="AX26" s="374"/>
      <c r="AY26" s="552"/>
      <c r="AZ26" s="552"/>
      <c r="BA26" s="552"/>
      <c r="BB26" s="552"/>
      <c r="BC26" s="552"/>
      <c r="BD26" s="552"/>
      <c r="BE26" s="552"/>
      <c r="BF26" s="552"/>
      <c r="BG26" s="135"/>
      <c r="BJ26" s="135"/>
      <c r="BK26" s="135"/>
      <c r="BL26" s="135"/>
      <c r="BM26" s="395"/>
      <c r="BN26" s="395"/>
      <c r="BO26" s="395"/>
      <c r="BP26" s="395"/>
      <c r="BQ26" s="395"/>
      <c r="BR26" s="395"/>
      <c r="BS26" s="395"/>
      <c r="BT26" s="395"/>
      <c r="BU26" s="395"/>
    </row>
    <row r="27" spans="1:74" s="553" customFormat="1" ht="31.95" customHeight="1">
      <c r="A27" s="398" t="s">
        <v>1070</v>
      </c>
      <c r="B27" s="541" t="s">
        <v>1071</v>
      </c>
      <c r="C27" s="549">
        <f t="shared" si="9"/>
        <v>17</v>
      </c>
      <c r="D27" s="549">
        <v>1912</v>
      </c>
      <c r="E27" s="550" t="s">
        <v>640</v>
      </c>
      <c r="F27" s="132">
        <v>310000000</v>
      </c>
      <c r="G27" s="132">
        <v>310000000</v>
      </c>
      <c r="H27" s="132">
        <f t="shared" si="2"/>
        <v>0</v>
      </c>
      <c r="I27" s="132">
        <v>86218088</v>
      </c>
      <c r="J27" s="132">
        <v>85571684.170000002</v>
      </c>
      <c r="K27" s="132"/>
      <c r="L27" s="132"/>
      <c r="M27" s="132"/>
      <c r="N27" s="132">
        <f t="shared" si="4"/>
        <v>85571684.170000002</v>
      </c>
      <c r="O27" s="132">
        <f>100000000+646403.83</f>
        <v>100646403.83</v>
      </c>
      <c r="P27" s="132">
        <f t="shared" si="5"/>
        <v>123781911.99999999</v>
      </c>
      <c r="Q27" s="132">
        <f t="shared" si="6"/>
        <v>646403.82999999821</v>
      </c>
      <c r="R27" s="132">
        <f t="shared" si="7"/>
        <v>100000000</v>
      </c>
      <c r="S27" s="132">
        <v>100000000</v>
      </c>
      <c r="T27" s="132">
        <v>0</v>
      </c>
      <c r="U27" s="132">
        <v>12925168</v>
      </c>
      <c r="V27" s="132"/>
      <c r="W27" s="132">
        <v>-12925168</v>
      </c>
      <c r="X27" s="551" t="s">
        <v>1098</v>
      </c>
      <c r="Y27" s="132"/>
      <c r="Z27" s="132"/>
      <c r="AA27" s="132"/>
      <c r="AB27" s="132"/>
      <c r="AC27" s="132"/>
      <c r="AD27" s="132">
        <v>12925168</v>
      </c>
      <c r="AE27" s="132"/>
      <c r="AF27" s="132"/>
      <c r="AG27" s="132"/>
      <c r="AH27" s="132"/>
      <c r="AI27" s="132">
        <v>12925168</v>
      </c>
      <c r="AJ27" s="132">
        <v>-12925168</v>
      </c>
      <c r="AK27" s="132">
        <v>12925168</v>
      </c>
      <c r="AL27" s="132"/>
      <c r="AM27" s="132"/>
      <c r="AN27" s="132">
        <f t="shared" si="8"/>
        <v>0</v>
      </c>
      <c r="AO27" s="132"/>
      <c r="AP27" s="132"/>
      <c r="AQ27" s="374"/>
      <c r="AR27" s="374"/>
      <c r="AS27" s="374"/>
      <c r="AT27" s="374"/>
      <c r="AU27" s="374"/>
      <c r="AV27" s="374"/>
      <c r="AW27" s="374"/>
      <c r="AX27" s="374"/>
      <c r="AY27" s="552"/>
      <c r="AZ27" s="552"/>
      <c r="BA27" s="552"/>
      <c r="BB27" s="552"/>
      <c r="BC27" s="552"/>
      <c r="BD27" s="552"/>
      <c r="BE27" s="552"/>
      <c r="BF27" s="552"/>
      <c r="BG27" s="135"/>
      <c r="BJ27" s="135"/>
      <c r="BK27" s="135"/>
      <c r="BL27" s="135"/>
      <c r="BM27" s="395"/>
      <c r="BN27" s="395"/>
      <c r="BO27" s="395"/>
      <c r="BP27" s="395"/>
      <c r="BQ27" s="395"/>
      <c r="BR27" s="395"/>
      <c r="BS27" s="395"/>
      <c r="BT27" s="395"/>
      <c r="BU27" s="395"/>
    </row>
    <row r="28" spans="1:74" s="553" customFormat="1" ht="31.95" customHeight="1">
      <c r="A28" s="398" t="s">
        <v>1099</v>
      </c>
      <c r="B28" s="541" t="s">
        <v>1166</v>
      </c>
      <c r="C28" s="549">
        <v>18</v>
      </c>
      <c r="D28" s="549">
        <v>20015</v>
      </c>
      <c r="E28" s="550" t="s">
        <v>756</v>
      </c>
      <c r="F28" s="132">
        <v>2000000</v>
      </c>
      <c r="G28" s="132">
        <v>2000000</v>
      </c>
      <c r="H28" s="132">
        <f t="shared" si="2"/>
        <v>0</v>
      </c>
      <c r="I28" s="132"/>
      <c r="J28" s="132"/>
      <c r="K28" s="132"/>
      <c r="L28" s="132"/>
      <c r="M28" s="132">
        <f t="shared" ref="M28:M33" si="10">SUM(K28:L28)</f>
        <v>0</v>
      </c>
      <c r="N28" s="132">
        <f t="shared" si="4"/>
        <v>0</v>
      </c>
      <c r="O28" s="132">
        <v>2000000</v>
      </c>
      <c r="P28" s="132">
        <f t="shared" si="5"/>
        <v>0</v>
      </c>
      <c r="Q28" s="132">
        <f t="shared" si="6"/>
        <v>0</v>
      </c>
      <c r="R28" s="132">
        <f t="shared" si="7"/>
        <v>2000000</v>
      </c>
      <c r="S28" s="132">
        <v>1500000</v>
      </c>
      <c r="T28" s="132">
        <v>500000</v>
      </c>
      <c r="U28" s="132">
        <v>500000</v>
      </c>
      <c r="V28" s="132"/>
      <c r="W28" s="132"/>
      <c r="X28" s="551" t="s">
        <v>1100</v>
      </c>
      <c r="Y28" s="132"/>
      <c r="Z28" s="132"/>
      <c r="AA28" s="132"/>
      <c r="AB28" s="132"/>
      <c r="AC28" s="132"/>
      <c r="AD28" s="132"/>
      <c r="AE28" s="132"/>
      <c r="AF28" s="132"/>
      <c r="AG28" s="132">
        <v>500000</v>
      </c>
      <c r="AH28" s="132"/>
      <c r="AI28" s="132">
        <v>500000</v>
      </c>
      <c r="AJ28" s="132">
        <v>0</v>
      </c>
      <c r="AK28" s="132">
        <v>500000</v>
      </c>
      <c r="AL28" s="558"/>
      <c r="AM28" s="132"/>
      <c r="AN28" s="132">
        <f t="shared" si="8"/>
        <v>0</v>
      </c>
      <c r="AO28" s="558"/>
      <c r="AP28" s="558"/>
      <c r="AQ28" s="559"/>
      <c r="AR28" s="374"/>
      <c r="AS28" s="374"/>
      <c r="AT28" s="374"/>
      <c r="AU28" s="374"/>
      <c r="AV28" s="374"/>
      <c r="AW28" s="374"/>
      <c r="AX28" s="374"/>
      <c r="AY28" s="374"/>
      <c r="AZ28" s="552"/>
      <c r="BA28" s="552"/>
      <c r="BB28" s="552"/>
      <c r="BC28" s="552"/>
      <c r="BD28" s="552"/>
      <c r="BE28" s="552"/>
      <c r="BF28" s="552"/>
      <c r="BG28" s="552"/>
      <c r="BH28" s="135"/>
      <c r="BK28" s="135"/>
      <c r="BL28" s="135"/>
      <c r="BM28" s="135"/>
      <c r="BN28" s="395"/>
      <c r="BO28" s="395"/>
      <c r="BP28" s="395"/>
      <c r="BQ28" s="395"/>
      <c r="BR28" s="395"/>
      <c r="BS28" s="395"/>
      <c r="BT28" s="395"/>
      <c r="BU28" s="395"/>
      <c r="BV28" s="395"/>
    </row>
    <row r="29" spans="1:74" s="553" customFormat="1" ht="31.95" customHeight="1">
      <c r="A29" s="398" t="s">
        <v>1099</v>
      </c>
      <c r="B29" s="541" t="s">
        <v>1166</v>
      </c>
      <c r="C29" s="549">
        <v>19</v>
      </c>
      <c r="D29" s="549">
        <v>20018</v>
      </c>
      <c r="E29" s="550" t="s">
        <v>800</v>
      </c>
      <c r="F29" s="132">
        <v>1000000</v>
      </c>
      <c r="G29" s="132">
        <v>150000</v>
      </c>
      <c r="H29" s="132">
        <f t="shared" si="2"/>
        <v>850000</v>
      </c>
      <c r="I29" s="132"/>
      <c r="J29" s="132"/>
      <c r="K29" s="132"/>
      <c r="L29" s="132"/>
      <c r="M29" s="132">
        <f t="shared" si="10"/>
        <v>0</v>
      </c>
      <c r="N29" s="132">
        <f t="shared" si="4"/>
        <v>0</v>
      </c>
      <c r="O29" s="132">
        <v>1000000</v>
      </c>
      <c r="P29" s="132">
        <f t="shared" si="5"/>
        <v>0</v>
      </c>
      <c r="Q29" s="132">
        <f t="shared" si="6"/>
        <v>0</v>
      </c>
      <c r="R29" s="132">
        <f t="shared" si="7"/>
        <v>1000000</v>
      </c>
      <c r="S29" s="132">
        <v>150000</v>
      </c>
      <c r="T29" s="132">
        <v>850000</v>
      </c>
      <c r="U29" s="132">
        <v>850000</v>
      </c>
      <c r="V29" s="132"/>
      <c r="W29" s="132"/>
      <c r="X29" s="551" t="s">
        <v>1101</v>
      </c>
      <c r="Y29" s="132"/>
      <c r="Z29" s="132"/>
      <c r="AA29" s="132"/>
      <c r="AB29" s="132"/>
      <c r="AC29" s="132"/>
      <c r="AD29" s="132"/>
      <c r="AE29" s="132"/>
      <c r="AF29" s="132"/>
      <c r="AG29" s="132">
        <v>850000</v>
      </c>
      <c r="AH29" s="132"/>
      <c r="AI29" s="132">
        <v>850000</v>
      </c>
      <c r="AJ29" s="132">
        <v>0</v>
      </c>
      <c r="AK29" s="132">
        <v>850000</v>
      </c>
      <c r="AL29" s="558"/>
      <c r="AM29" s="132"/>
      <c r="AN29" s="132">
        <f t="shared" si="8"/>
        <v>0</v>
      </c>
      <c r="AO29" s="558"/>
      <c r="AP29" s="558"/>
      <c r="AQ29" s="559"/>
      <c r="AR29" s="374"/>
      <c r="AS29" s="374"/>
      <c r="AT29" s="374"/>
      <c r="AU29" s="374"/>
      <c r="AV29" s="374"/>
      <c r="AW29" s="374"/>
      <c r="AX29" s="374"/>
      <c r="AY29" s="374"/>
      <c r="AZ29" s="552"/>
      <c r="BA29" s="552"/>
      <c r="BB29" s="552"/>
      <c r="BC29" s="552"/>
      <c r="BD29" s="552"/>
      <c r="BE29" s="552"/>
      <c r="BF29" s="552"/>
      <c r="BG29" s="552"/>
      <c r="BH29" s="135"/>
      <c r="BK29" s="135"/>
      <c r="BL29" s="135"/>
      <c r="BM29" s="135"/>
      <c r="BN29" s="395"/>
      <c r="BO29" s="395"/>
      <c r="BP29" s="395"/>
      <c r="BQ29" s="395"/>
      <c r="BR29" s="395"/>
      <c r="BS29" s="395"/>
      <c r="BT29" s="395"/>
      <c r="BU29" s="395"/>
      <c r="BV29" s="395"/>
    </row>
    <row r="30" spans="1:74" s="553" customFormat="1" ht="31.95" customHeight="1">
      <c r="A30" s="398" t="s">
        <v>1099</v>
      </c>
      <c r="B30" s="541" t="s">
        <v>1166</v>
      </c>
      <c r="C30" s="549">
        <v>20</v>
      </c>
      <c r="D30" s="549">
        <v>1912</v>
      </c>
      <c r="E30" s="550" t="s">
        <v>640</v>
      </c>
      <c r="F30" s="132">
        <v>310000000</v>
      </c>
      <c r="G30" s="132">
        <v>310000000</v>
      </c>
      <c r="H30" s="132">
        <f t="shared" si="2"/>
        <v>0</v>
      </c>
      <c r="I30" s="132">
        <v>86218088</v>
      </c>
      <c r="J30" s="132">
        <v>85571684.170000002</v>
      </c>
      <c r="K30" s="132"/>
      <c r="L30" s="132"/>
      <c r="M30" s="132">
        <f t="shared" si="10"/>
        <v>0</v>
      </c>
      <c r="N30" s="132">
        <f t="shared" si="4"/>
        <v>85571684.170000002</v>
      </c>
      <c r="O30" s="132">
        <f>100000000+646403.83+20000000</f>
        <v>120646403.83</v>
      </c>
      <c r="P30" s="132">
        <f t="shared" si="5"/>
        <v>103781911.99999999</v>
      </c>
      <c r="Q30" s="132">
        <f t="shared" si="6"/>
        <v>646403.82999999821</v>
      </c>
      <c r="R30" s="132">
        <f t="shared" si="7"/>
        <v>120000000</v>
      </c>
      <c r="S30" s="132">
        <v>100000000</v>
      </c>
      <c r="T30" s="132">
        <v>20000000</v>
      </c>
      <c r="U30" s="132">
        <v>20000000</v>
      </c>
      <c r="V30" s="132"/>
      <c r="W30" s="132"/>
      <c r="X30" s="551" t="s">
        <v>1102</v>
      </c>
      <c r="Y30" s="132"/>
      <c r="Z30" s="132"/>
      <c r="AA30" s="132"/>
      <c r="AB30" s="132"/>
      <c r="AC30" s="132"/>
      <c r="AD30" s="132"/>
      <c r="AE30" s="132"/>
      <c r="AF30" s="132">
        <v>20000000</v>
      </c>
      <c r="AG30" s="132"/>
      <c r="AH30" s="132"/>
      <c r="AI30" s="132">
        <v>20000000</v>
      </c>
      <c r="AJ30" s="132">
        <v>0</v>
      </c>
      <c r="AK30" s="132">
        <v>20000000</v>
      </c>
      <c r="AL30" s="558"/>
      <c r="AM30" s="132"/>
      <c r="AN30" s="132">
        <f t="shared" si="8"/>
        <v>0</v>
      </c>
      <c r="AO30" s="558"/>
      <c r="AP30" s="558"/>
      <c r="AQ30" s="559"/>
      <c r="AR30" s="374"/>
      <c r="AS30" s="374"/>
      <c r="AT30" s="374"/>
      <c r="AU30" s="374"/>
      <c r="AV30" s="374"/>
      <c r="AW30" s="374"/>
      <c r="AX30" s="374"/>
      <c r="AY30" s="374"/>
      <c r="AZ30" s="552"/>
      <c r="BA30" s="552"/>
      <c r="BB30" s="552"/>
      <c r="BC30" s="552"/>
      <c r="BD30" s="552"/>
      <c r="BE30" s="552"/>
      <c r="BF30" s="552"/>
      <c r="BG30" s="552"/>
      <c r="BH30" s="135"/>
      <c r="BK30" s="135"/>
      <c r="BL30" s="135"/>
      <c r="BM30" s="135"/>
      <c r="BN30" s="395"/>
      <c r="BO30" s="395"/>
      <c r="BP30" s="395"/>
      <c r="BQ30" s="395"/>
      <c r="BR30" s="395"/>
      <c r="BS30" s="395"/>
      <c r="BT30" s="395"/>
      <c r="BU30" s="395"/>
      <c r="BV30" s="395"/>
    </row>
    <row r="31" spans="1:74" s="553" customFormat="1" ht="31.95" customHeight="1">
      <c r="A31" s="541" t="s">
        <v>1103</v>
      </c>
      <c r="B31" s="541" t="s">
        <v>1166</v>
      </c>
      <c r="C31" s="549">
        <v>21</v>
      </c>
      <c r="D31" s="549">
        <v>1914</v>
      </c>
      <c r="E31" s="550" t="s">
        <v>120</v>
      </c>
      <c r="F31" s="132">
        <v>8100000</v>
      </c>
      <c r="G31" s="132">
        <v>8100000</v>
      </c>
      <c r="H31" s="132">
        <f t="shared" si="2"/>
        <v>0</v>
      </c>
      <c r="I31" s="132">
        <v>8100000</v>
      </c>
      <c r="J31" s="132">
        <v>7471624.5</v>
      </c>
      <c r="K31" s="132"/>
      <c r="L31" s="132"/>
      <c r="M31" s="132">
        <f t="shared" si="10"/>
        <v>0</v>
      </c>
      <c r="N31" s="132">
        <f t="shared" si="4"/>
        <v>7471624.5</v>
      </c>
      <c r="O31" s="132">
        <v>628375.5</v>
      </c>
      <c r="P31" s="132">
        <f t="shared" si="5"/>
        <v>0</v>
      </c>
      <c r="Q31" s="132">
        <f t="shared" si="6"/>
        <v>628375.5</v>
      </c>
      <c r="R31" s="132">
        <f t="shared" si="7"/>
        <v>0</v>
      </c>
      <c r="S31" s="132"/>
      <c r="T31" s="132">
        <v>0</v>
      </c>
      <c r="U31" s="132">
        <v>-817569</v>
      </c>
      <c r="V31" s="132"/>
      <c r="W31" s="132">
        <v>817569</v>
      </c>
      <c r="X31" s="551" t="s">
        <v>1104</v>
      </c>
      <c r="Y31" s="132"/>
      <c r="Z31" s="132"/>
      <c r="AA31" s="132"/>
      <c r="AB31" s="132"/>
      <c r="AC31" s="132"/>
      <c r="AD31" s="132"/>
      <c r="AE31" s="132"/>
      <c r="AF31" s="132"/>
      <c r="AG31" s="557"/>
      <c r="AH31" s="132"/>
      <c r="AI31" s="132">
        <v>0</v>
      </c>
      <c r="AJ31" s="132">
        <v>0</v>
      </c>
      <c r="AK31" s="132">
        <v>-817569</v>
      </c>
      <c r="AL31" s="558"/>
      <c r="AM31" s="132">
        <v>817569</v>
      </c>
      <c r="AN31" s="132">
        <f t="shared" si="8"/>
        <v>0</v>
      </c>
      <c r="AO31" s="558"/>
      <c r="AP31" s="558"/>
      <c r="AQ31" s="559"/>
      <c r="AR31" s="374"/>
      <c r="AS31" s="374"/>
      <c r="AT31" s="374"/>
      <c r="AU31" s="374"/>
      <c r="AV31" s="374"/>
      <c r="AW31" s="374"/>
      <c r="AX31" s="374"/>
      <c r="AY31" s="374"/>
      <c r="AZ31" s="552"/>
      <c r="BA31" s="552"/>
      <c r="BB31" s="552"/>
      <c r="BC31" s="552"/>
      <c r="BD31" s="552"/>
      <c r="BE31" s="552"/>
      <c r="BF31" s="552"/>
      <c r="BG31" s="552"/>
      <c r="BH31" s="135"/>
      <c r="BK31" s="135"/>
      <c r="BL31" s="135"/>
      <c r="BM31" s="135"/>
      <c r="BN31" s="395"/>
      <c r="BO31" s="395"/>
      <c r="BP31" s="395"/>
      <c r="BQ31" s="395"/>
      <c r="BR31" s="395"/>
      <c r="BS31" s="395"/>
      <c r="BT31" s="395"/>
      <c r="BU31" s="395"/>
      <c r="BV31" s="395"/>
    </row>
    <row r="32" spans="1:74" s="553" customFormat="1" ht="31.95" customHeight="1">
      <c r="A32" s="541" t="s">
        <v>1103</v>
      </c>
      <c r="B32" s="541" t="s">
        <v>1166</v>
      </c>
      <c r="C32" s="549">
        <v>22</v>
      </c>
      <c r="D32" s="549">
        <v>2119</v>
      </c>
      <c r="E32" s="550" t="s">
        <v>269</v>
      </c>
      <c r="F32" s="132">
        <v>3900000</v>
      </c>
      <c r="G32" s="132">
        <v>2500000</v>
      </c>
      <c r="H32" s="132">
        <f t="shared" si="2"/>
        <v>1400000</v>
      </c>
      <c r="I32" s="132">
        <v>1100000</v>
      </c>
      <c r="J32" s="132">
        <v>118879</v>
      </c>
      <c r="K32" s="132"/>
      <c r="L32" s="132"/>
      <c r="M32" s="132">
        <f t="shared" si="10"/>
        <v>0</v>
      </c>
      <c r="N32" s="132">
        <f t="shared" si="4"/>
        <v>118879</v>
      </c>
      <c r="O32" s="132">
        <f>3781121</f>
        <v>3781121</v>
      </c>
      <c r="P32" s="132">
        <f t="shared" si="5"/>
        <v>0</v>
      </c>
      <c r="Q32" s="132">
        <f t="shared" si="6"/>
        <v>981121</v>
      </c>
      <c r="R32" s="132">
        <f t="shared" si="7"/>
        <v>2800000</v>
      </c>
      <c r="S32" s="132"/>
      <c r="T32" s="132">
        <v>2800000</v>
      </c>
      <c r="U32" s="132">
        <v>2800000</v>
      </c>
      <c r="V32" s="132"/>
      <c r="W32" s="132"/>
      <c r="X32" s="551" t="s">
        <v>1105</v>
      </c>
      <c r="Y32" s="132"/>
      <c r="Z32" s="132"/>
      <c r="AA32" s="132"/>
      <c r="AB32" s="132"/>
      <c r="AC32" s="132"/>
      <c r="AD32" s="132"/>
      <c r="AE32" s="132"/>
      <c r="AF32" s="132"/>
      <c r="AG32" s="132">
        <v>2800000</v>
      </c>
      <c r="AH32" s="132"/>
      <c r="AI32" s="132">
        <v>2800000</v>
      </c>
      <c r="AJ32" s="132">
        <v>0</v>
      </c>
      <c r="AK32" s="132">
        <v>2800000</v>
      </c>
      <c r="AL32" s="558"/>
      <c r="AM32" s="132"/>
      <c r="AN32" s="132">
        <f t="shared" si="8"/>
        <v>0</v>
      </c>
      <c r="AO32" s="558"/>
      <c r="AP32" s="558"/>
      <c r="AQ32" s="559"/>
      <c r="AR32" s="374"/>
      <c r="AS32" s="374"/>
      <c r="AT32" s="374"/>
      <c r="AU32" s="374"/>
      <c r="AV32" s="374"/>
      <c r="AW32" s="374"/>
      <c r="AX32" s="374"/>
      <c r="AY32" s="374"/>
      <c r="AZ32" s="552"/>
      <c r="BA32" s="552"/>
      <c r="BB32" s="552"/>
      <c r="BC32" s="552"/>
      <c r="BD32" s="552"/>
      <c r="BE32" s="552"/>
      <c r="BF32" s="552"/>
      <c r="BG32" s="552"/>
      <c r="BH32" s="135"/>
      <c r="BK32" s="135"/>
      <c r="BL32" s="135"/>
      <c r="BM32" s="135"/>
      <c r="BN32" s="395"/>
      <c r="BO32" s="395"/>
      <c r="BP32" s="395"/>
      <c r="BQ32" s="395"/>
      <c r="BR32" s="395"/>
      <c r="BS32" s="395"/>
      <c r="BT32" s="395"/>
      <c r="BU32" s="395"/>
      <c r="BV32" s="395"/>
    </row>
    <row r="33" spans="1:74" s="553" customFormat="1" ht="31.95" customHeight="1">
      <c r="A33" s="541" t="s">
        <v>1103</v>
      </c>
      <c r="B33" s="541" t="s">
        <v>1166</v>
      </c>
      <c r="C33" s="549">
        <v>23</v>
      </c>
      <c r="D33" s="549">
        <v>2152</v>
      </c>
      <c r="E33" s="550" t="s">
        <v>425</v>
      </c>
      <c r="F33" s="132">
        <v>16000000</v>
      </c>
      <c r="G33" s="132">
        <v>16000000</v>
      </c>
      <c r="H33" s="132">
        <f t="shared" si="2"/>
        <v>0</v>
      </c>
      <c r="I33" s="132">
        <v>1050000</v>
      </c>
      <c r="J33" s="132">
        <v>447674</v>
      </c>
      <c r="K33" s="132"/>
      <c r="L33" s="132"/>
      <c r="M33" s="132">
        <f t="shared" si="10"/>
        <v>0</v>
      </c>
      <c r="N33" s="132">
        <f t="shared" si="4"/>
        <v>447674</v>
      </c>
      <c r="O33" s="132">
        <f>7000000+602326-2800000</f>
        <v>4802326</v>
      </c>
      <c r="P33" s="132">
        <f t="shared" si="5"/>
        <v>10750000</v>
      </c>
      <c r="Q33" s="132">
        <f t="shared" si="6"/>
        <v>602326</v>
      </c>
      <c r="R33" s="132">
        <f t="shared" si="7"/>
        <v>4200000</v>
      </c>
      <c r="S33" s="132">
        <v>7000000</v>
      </c>
      <c r="T33" s="132">
        <v>-2800000</v>
      </c>
      <c r="U33" s="132">
        <v>-2800000</v>
      </c>
      <c r="V33" s="132"/>
      <c r="W33" s="132"/>
      <c r="X33" s="551" t="s">
        <v>1097</v>
      </c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>
        <v>0</v>
      </c>
      <c r="AJ33" s="132">
        <v>-2800000</v>
      </c>
      <c r="AK33" s="132">
        <v>0</v>
      </c>
      <c r="AL33" s="558"/>
      <c r="AM33" s="132"/>
      <c r="AN33" s="132">
        <f t="shared" si="8"/>
        <v>0</v>
      </c>
      <c r="AO33" s="558"/>
      <c r="AP33" s="558"/>
      <c r="AQ33" s="559"/>
      <c r="AR33" s="374"/>
      <c r="AS33" s="374"/>
      <c r="AT33" s="374"/>
      <c r="AU33" s="374"/>
      <c r="AV33" s="374"/>
      <c r="AW33" s="374"/>
      <c r="AX33" s="374"/>
      <c r="AY33" s="374"/>
      <c r="AZ33" s="552"/>
      <c r="BA33" s="552"/>
      <c r="BB33" s="552"/>
      <c r="BC33" s="552"/>
      <c r="BD33" s="552"/>
      <c r="BE33" s="552"/>
      <c r="BF33" s="552"/>
      <c r="BG33" s="552"/>
      <c r="BH33" s="135"/>
      <c r="BK33" s="135"/>
      <c r="BL33" s="135"/>
      <c r="BM33" s="135"/>
      <c r="BN33" s="395"/>
      <c r="BO33" s="395"/>
      <c r="BP33" s="395"/>
      <c r="BQ33" s="395"/>
      <c r="BR33" s="395"/>
      <c r="BS33" s="395"/>
      <c r="BT33" s="395"/>
      <c r="BU33" s="395"/>
      <c r="BV33" s="395"/>
    </row>
    <row r="34" spans="1:74" s="563" customFormat="1" ht="31.95" customHeight="1">
      <c r="A34" s="398" t="s">
        <v>1167</v>
      </c>
      <c r="B34" s="541" t="s">
        <v>1234</v>
      </c>
      <c r="C34" s="549">
        <f>C33+1</f>
        <v>24</v>
      </c>
      <c r="D34" s="549">
        <v>1314</v>
      </c>
      <c r="E34" s="550" t="s">
        <v>42</v>
      </c>
      <c r="F34" s="132">
        <f>3200000+2000000</f>
        <v>5200000</v>
      </c>
      <c r="G34" s="132">
        <v>5200000</v>
      </c>
      <c r="H34" s="132">
        <f t="shared" si="2"/>
        <v>0</v>
      </c>
      <c r="I34" s="132">
        <v>660000</v>
      </c>
      <c r="J34" s="132">
        <v>656231.49</v>
      </c>
      <c r="K34" s="132"/>
      <c r="L34" s="132"/>
      <c r="M34" s="132"/>
      <c r="N34" s="132">
        <f t="shared" si="4"/>
        <v>656231.49</v>
      </c>
      <c r="O34" s="132">
        <f>1000000+1540000+3769+2000000</f>
        <v>4543769</v>
      </c>
      <c r="P34" s="132">
        <f t="shared" si="5"/>
        <v>-0.49000000022351742</v>
      </c>
      <c r="Q34" s="132">
        <f t="shared" si="6"/>
        <v>3768.5100000000093</v>
      </c>
      <c r="R34" s="132">
        <f t="shared" si="7"/>
        <v>4540000.49</v>
      </c>
      <c r="S34" s="132">
        <v>2540000</v>
      </c>
      <c r="T34" s="132">
        <v>2000000.4900000002</v>
      </c>
      <c r="U34" s="132">
        <v>2000000.4900000002</v>
      </c>
      <c r="V34" s="132"/>
      <c r="W34" s="132"/>
      <c r="X34" s="551" t="s">
        <v>1168</v>
      </c>
      <c r="Y34" s="132"/>
      <c r="Z34" s="132"/>
      <c r="AA34" s="132"/>
      <c r="AB34" s="132"/>
      <c r="AC34" s="132"/>
      <c r="AD34" s="132"/>
      <c r="AE34" s="132"/>
      <c r="AF34" s="132">
        <v>0</v>
      </c>
      <c r="AG34" s="564"/>
      <c r="AH34" s="564">
        <v>2000000</v>
      </c>
      <c r="AI34" s="132">
        <v>2000000</v>
      </c>
      <c r="AJ34" s="132">
        <v>0.49000000022351742</v>
      </c>
      <c r="AK34" s="132">
        <v>2000000</v>
      </c>
      <c r="AL34" s="386"/>
      <c r="AM34" s="132"/>
      <c r="AN34" s="132">
        <f t="shared" si="8"/>
        <v>2000000</v>
      </c>
      <c r="AO34" s="386"/>
      <c r="AP34" s="386"/>
      <c r="AQ34" s="407"/>
      <c r="AR34" s="407"/>
      <c r="AS34" s="407"/>
      <c r="AT34" s="407"/>
      <c r="AU34" s="407"/>
      <c r="AV34" s="407"/>
      <c r="AW34" s="562"/>
      <c r="AX34" s="562"/>
      <c r="AY34" s="562"/>
      <c r="AZ34" s="562"/>
      <c r="BA34" s="562"/>
      <c r="BB34" s="562"/>
      <c r="BC34" s="562"/>
      <c r="BD34" s="562"/>
      <c r="BE34" s="136"/>
      <c r="BH34" s="136"/>
      <c r="BI34" s="136"/>
      <c r="BJ34" s="136"/>
      <c r="BK34" s="401"/>
      <c r="BL34" s="401"/>
      <c r="BM34" s="401"/>
      <c r="BN34" s="401"/>
      <c r="BO34" s="401"/>
      <c r="BP34" s="401"/>
      <c r="BQ34" s="401"/>
      <c r="BR34" s="401"/>
      <c r="BS34" s="401"/>
    </row>
    <row r="35" spans="1:74" s="553" customFormat="1" ht="31.95" customHeight="1">
      <c r="A35" s="605"/>
      <c r="B35" s="566"/>
      <c r="C35" s="566">
        <f>COUNT(C13:C34)</f>
        <v>22</v>
      </c>
      <c r="D35" s="566"/>
      <c r="E35" s="544" t="s">
        <v>76</v>
      </c>
      <c r="F35" s="134">
        <f>SUM(F13:F34)</f>
        <v>1004258513</v>
      </c>
      <c r="G35" s="134">
        <f t="shared" ref="G35:AP35" si="11">SUM(G13:G34)</f>
        <v>989158513</v>
      </c>
      <c r="H35" s="134">
        <f t="shared" si="11"/>
        <v>15100000</v>
      </c>
      <c r="I35" s="134">
        <f t="shared" si="11"/>
        <v>260412025</v>
      </c>
      <c r="J35" s="134">
        <f t="shared" si="11"/>
        <v>234677020.14000005</v>
      </c>
      <c r="K35" s="134">
        <f t="shared" si="11"/>
        <v>0</v>
      </c>
      <c r="L35" s="134">
        <f t="shared" si="11"/>
        <v>11810</v>
      </c>
      <c r="M35" s="134">
        <f t="shared" si="11"/>
        <v>11810</v>
      </c>
      <c r="N35" s="134">
        <f t="shared" si="11"/>
        <v>234688830.14000005</v>
      </c>
      <c r="O35" s="134">
        <f t="shared" si="11"/>
        <v>297162559.83999997</v>
      </c>
      <c r="P35" s="134">
        <f t="shared" si="11"/>
        <v>472407123.01999998</v>
      </c>
      <c r="Q35" s="134">
        <f t="shared" si="11"/>
        <v>25723194.859999996</v>
      </c>
      <c r="R35" s="134">
        <f t="shared" si="11"/>
        <v>271439364.98000002</v>
      </c>
      <c r="S35" s="134">
        <f t="shared" si="11"/>
        <v>225815891</v>
      </c>
      <c r="T35" s="134">
        <v>45623473.980000004</v>
      </c>
      <c r="U35" s="134">
        <v>35465489.980000004</v>
      </c>
      <c r="V35" s="134">
        <v>900000</v>
      </c>
      <c r="W35" s="134">
        <v>9257984</v>
      </c>
      <c r="X35" s="134"/>
      <c r="Y35" s="134">
        <v>0</v>
      </c>
      <c r="Z35" s="134">
        <v>327600</v>
      </c>
      <c r="AA35" s="134">
        <v>956778</v>
      </c>
      <c r="AB35" s="134">
        <v>1419705</v>
      </c>
      <c r="AC35" s="134">
        <v>18979390</v>
      </c>
      <c r="AD35" s="134">
        <v>15515168</v>
      </c>
      <c r="AE35" s="134">
        <v>0</v>
      </c>
      <c r="AF35" s="134">
        <v>20000000</v>
      </c>
      <c r="AG35" s="134">
        <v>4150000</v>
      </c>
      <c r="AH35" s="134">
        <v>2000000</v>
      </c>
      <c r="AI35" s="134">
        <v>63348641</v>
      </c>
      <c r="AJ35" s="134">
        <v>-17725167.019999996</v>
      </c>
      <c r="AK35" s="134">
        <v>40265489</v>
      </c>
      <c r="AL35" s="134">
        <v>900000</v>
      </c>
      <c r="AM35" s="134">
        <v>22183152</v>
      </c>
      <c r="AN35" s="134">
        <f t="shared" si="11"/>
        <v>2000000</v>
      </c>
      <c r="AO35" s="134">
        <f t="shared" si="11"/>
        <v>0</v>
      </c>
      <c r="AP35" s="134">
        <f t="shared" si="11"/>
        <v>0</v>
      </c>
      <c r="AQ35" s="374"/>
      <c r="AR35" s="374"/>
      <c r="AS35" s="374"/>
      <c r="AT35" s="374"/>
      <c r="AU35" s="374"/>
      <c r="AV35" s="374"/>
      <c r="AW35" s="374"/>
      <c r="AX35" s="374"/>
      <c r="AY35" s="552"/>
      <c r="AZ35" s="552"/>
      <c r="BA35" s="552"/>
      <c r="BB35" s="552"/>
      <c r="BC35" s="552"/>
      <c r="BD35" s="552"/>
      <c r="BE35" s="552"/>
      <c r="BF35" s="552"/>
      <c r="BG35" s="135"/>
      <c r="BJ35" s="135"/>
      <c r="BK35" s="135"/>
      <c r="BL35" s="135"/>
      <c r="BM35" s="395"/>
      <c r="BN35" s="395"/>
      <c r="BO35" s="395"/>
      <c r="BP35" s="395"/>
      <c r="BQ35" s="395"/>
      <c r="BR35" s="395"/>
      <c r="BS35" s="395"/>
      <c r="BT35" s="395"/>
      <c r="BU35" s="395"/>
    </row>
    <row r="36" spans="1:74" s="71" customFormat="1" ht="31.95" customHeight="1">
      <c r="A36" s="409"/>
      <c r="B36" s="554"/>
      <c r="C36" s="554"/>
      <c r="D36" s="555"/>
      <c r="E36" s="548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556"/>
      <c r="Y36" s="134"/>
      <c r="Z36" s="134"/>
      <c r="AA36" s="134"/>
      <c r="AB36" s="134"/>
      <c r="AC36" s="134"/>
      <c r="AD36" s="134"/>
      <c r="AE36" s="134"/>
      <c r="AF36" s="134"/>
      <c r="AG36" s="134">
        <v>24150000</v>
      </c>
      <c r="AH36" s="134">
        <v>26150000</v>
      </c>
      <c r="AI36" s="134"/>
      <c r="AJ36" s="134"/>
      <c r="AK36" s="134"/>
      <c r="AL36" s="134"/>
      <c r="AM36" s="134"/>
      <c r="AN36" s="134"/>
      <c r="AO36" s="134"/>
      <c r="AP36" s="134"/>
      <c r="AQ36" s="184"/>
      <c r="AR36" s="184"/>
      <c r="AS36" s="184"/>
      <c r="AT36" s="184"/>
      <c r="AU36" s="184"/>
      <c r="AV36" s="184"/>
      <c r="AW36" s="184"/>
      <c r="AX36" s="184"/>
      <c r="AY36" s="535"/>
      <c r="AZ36" s="535"/>
      <c r="BA36" s="535"/>
      <c r="BB36" s="535"/>
      <c r="BC36" s="535"/>
      <c r="BD36" s="535"/>
      <c r="BE36" s="535"/>
      <c r="BF36" s="535"/>
      <c r="BG36" s="61"/>
      <c r="BJ36" s="61"/>
      <c r="BK36" s="61"/>
      <c r="BL36" s="61"/>
      <c r="BM36" s="172"/>
      <c r="BN36" s="172"/>
      <c r="BO36" s="172"/>
      <c r="BP36" s="172"/>
      <c r="BQ36" s="172"/>
      <c r="BR36" s="172"/>
      <c r="BS36" s="172"/>
      <c r="BT36" s="172"/>
      <c r="BU36" s="172"/>
    </row>
    <row r="37" spans="1:74" s="553" customFormat="1" ht="31.95" customHeight="1">
      <c r="A37" s="604"/>
      <c r="B37" s="549"/>
      <c r="C37" s="549"/>
      <c r="D37" s="549"/>
      <c r="E37" s="544" t="s">
        <v>700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549"/>
      <c r="X37" s="542"/>
      <c r="Y37" s="549"/>
      <c r="Z37" s="549"/>
      <c r="AA37" s="549"/>
      <c r="AB37" s="549"/>
      <c r="AC37" s="549"/>
      <c r="AD37" s="549"/>
      <c r="AE37" s="549"/>
      <c r="AF37" s="549"/>
      <c r="AG37" s="549"/>
      <c r="AH37" s="549"/>
      <c r="AI37" s="549"/>
      <c r="AJ37" s="549"/>
      <c r="AK37" s="549"/>
      <c r="AL37" s="549"/>
      <c r="AM37" s="549"/>
      <c r="AN37" s="549"/>
      <c r="AO37" s="549"/>
      <c r="AP37" s="549"/>
      <c r="AQ37" s="374"/>
      <c r="AR37" s="374"/>
      <c r="AS37" s="374"/>
      <c r="AT37" s="374"/>
      <c r="AU37" s="374"/>
      <c r="AV37" s="374"/>
      <c r="AW37" s="374"/>
      <c r="AX37" s="374"/>
      <c r="AY37" s="552"/>
      <c r="AZ37" s="552"/>
      <c r="BA37" s="552"/>
      <c r="BB37" s="552"/>
      <c r="BC37" s="552"/>
      <c r="BD37" s="552"/>
      <c r="BE37" s="552"/>
      <c r="BF37" s="552"/>
      <c r="BG37" s="135"/>
      <c r="BJ37" s="135"/>
      <c r="BK37" s="135"/>
      <c r="BL37" s="135"/>
      <c r="BM37" s="395"/>
      <c r="BN37" s="395"/>
      <c r="BO37" s="395"/>
      <c r="BP37" s="395"/>
      <c r="BQ37" s="395"/>
      <c r="BR37" s="395"/>
      <c r="BS37" s="395"/>
      <c r="BT37" s="395"/>
      <c r="BU37" s="395"/>
    </row>
    <row r="38" spans="1:74" s="553" customFormat="1" ht="31.95" customHeight="1">
      <c r="A38" s="398" t="s">
        <v>1106</v>
      </c>
      <c r="B38" s="541" t="s">
        <v>1107</v>
      </c>
      <c r="C38" s="549">
        <v>25</v>
      </c>
      <c r="D38" s="549">
        <v>20048</v>
      </c>
      <c r="E38" s="550" t="s">
        <v>883</v>
      </c>
      <c r="F38" s="132">
        <v>3730000</v>
      </c>
      <c r="G38" s="132"/>
      <c r="H38" s="132">
        <f t="shared" ref="H38:H45" si="12">F38-G38</f>
        <v>3730000</v>
      </c>
      <c r="I38" s="132"/>
      <c r="J38" s="132"/>
      <c r="K38" s="132"/>
      <c r="L38" s="132"/>
      <c r="M38" s="132">
        <f t="shared" ref="M38:M45" si="13">SUM(K38:L38)</f>
        <v>0</v>
      </c>
      <c r="N38" s="132">
        <f t="shared" ref="N38:N45" si="14">M38+J38</f>
        <v>0</v>
      </c>
      <c r="O38" s="132">
        <v>3730000</v>
      </c>
      <c r="P38" s="132">
        <f t="shared" ref="P38:P45" si="15">F38-N38-O38</f>
        <v>0</v>
      </c>
      <c r="Q38" s="132">
        <f t="shared" ref="Q38:Q45" si="16">I38-N38</f>
        <v>0</v>
      </c>
      <c r="R38" s="132">
        <f>O38-Q38</f>
        <v>3730000</v>
      </c>
      <c r="S38" s="132"/>
      <c r="T38" s="132">
        <v>3730000</v>
      </c>
      <c r="U38" s="132">
        <v>0</v>
      </c>
      <c r="V38" s="132">
        <v>230000</v>
      </c>
      <c r="W38" s="132">
        <v>3500000</v>
      </c>
      <c r="X38" s="551" t="s">
        <v>1108</v>
      </c>
      <c r="Y38" s="132">
        <v>230000</v>
      </c>
      <c r="Z38" s="132">
        <v>3500000</v>
      </c>
      <c r="AA38" s="132"/>
      <c r="AB38" s="132"/>
      <c r="AC38" s="132"/>
      <c r="AD38" s="132"/>
      <c r="AE38" s="132"/>
      <c r="AF38" s="132"/>
      <c r="AG38" s="132"/>
      <c r="AH38" s="132"/>
      <c r="AI38" s="132">
        <v>3730000</v>
      </c>
      <c r="AJ38" s="132">
        <v>0</v>
      </c>
      <c r="AK38" s="132">
        <v>0</v>
      </c>
      <c r="AL38" s="132">
        <v>230000</v>
      </c>
      <c r="AM38" s="132">
        <v>3500000</v>
      </c>
      <c r="AN38" s="132">
        <f t="shared" ref="AN38:AN75" si="17">AH38-AO38-AP38</f>
        <v>0</v>
      </c>
      <c r="AO38" s="132"/>
      <c r="AP38" s="132"/>
      <c r="AQ38" s="374"/>
      <c r="AR38" s="374"/>
      <c r="AS38" s="374"/>
      <c r="AT38" s="374"/>
      <c r="AU38" s="374"/>
      <c r="AV38" s="374"/>
      <c r="AW38" s="374"/>
      <c r="AX38" s="374"/>
      <c r="AY38" s="552"/>
      <c r="AZ38" s="552"/>
      <c r="BA38" s="552"/>
      <c r="BB38" s="552"/>
      <c r="BC38" s="552"/>
      <c r="BD38" s="552"/>
      <c r="BE38" s="552"/>
      <c r="BF38" s="552"/>
      <c r="BG38" s="135"/>
      <c r="BJ38" s="135"/>
      <c r="BK38" s="135"/>
      <c r="BL38" s="135"/>
      <c r="BM38" s="395"/>
      <c r="BN38" s="395"/>
      <c r="BO38" s="395"/>
      <c r="BP38" s="395"/>
      <c r="BQ38" s="395"/>
      <c r="BR38" s="395"/>
      <c r="BS38" s="395"/>
      <c r="BT38" s="395"/>
      <c r="BU38" s="395"/>
    </row>
    <row r="39" spans="1:74" s="553" customFormat="1" ht="31.95" customHeight="1">
      <c r="A39" s="398" t="s">
        <v>1106</v>
      </c>
      <c r="B39" s="541" t="s">
        <v>1107</v>
      </c>
      <c r="C39" s="549">
        <v>26</v>
      </c>
      <c r="D39" s="549">
        <v>2242</v>
      </c>
      <c r="E39" s="550" t="s">
        <v>886</v>
      </c>
      <c r="F39" s="132">
        <v>120000</v>
      </c>
      <c r="G39" s="132">
        <v>90000</v>
      </c>
      <c r="H39" s="132">
        <f t="shared" si="12"/>
        <v>30000</v>
      </c>
      <c r="I39" s="132">
        <v>90000</v>
      </c>
      <c r="J39" s="132"/>
      <c r="K39" s="132"/>
      <c r="L39" s="132">
        <v>9276</v>
      </c>
      <c r="M39" s="132">
        <f t="shared" si="13"/>
        <v>9276</v>
      </c>
      <c r="N39" s="132">
        <f t="shared" si="14"/>
        <v>9276</v>
      </c>
      <c r="O39" s="132">
        <f>80724+30000</f>
        <v>110724</v>
      </c>
      <c r="P39" s="132">
        <f t="shared" si="15"/>
        <v>0</v>
      </c>
      <c r="Q39" s="132">
        <f t="shared" si="16"/>
        <v>80724</v>
      </c>
      <c r="R39" s="132">
        <f>O39-Q39</f>
        <v>30000</v>
      </c>
      <c r="S39" s="132"/>
      <c r="T39" s="132">
        <v>30000</v>
      </c>
      <c r="U39" s="132">
        <v>0</v>
      </c>
      <c r="V39" s="132"/>
      <c r="W39" s="132">
        <v>30000</v>
      </c>
      <c r="X39" s="551" t="s">
        <v>1109</v>
      </c>
      <c r="Y39" s="132">
        <v>30000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>
        <v>30000</v>
      </c>
      <c r="AJ39" s="132">
        <v>0</v>
      </c>
      <c r="AK39" s="132">
        <v>0</v>
      </c>
      <c r="AL39" s="132"/>
      <c r="AM39" s="132">
        <v>30000</v>
      </c>
      <c r="AN39" s="132">
        <f t="shared" si="17"/>
        <v>0</v>
      </c>
      <c r="AO39" s="132"/>
      <c r="AP39" s="132"/>
      <c r="AQ39" s="374"/>
      <c r="AR39" s="374"/>
      <c r="AS39" s="374"/>
      <c r="AT39" s="374"/>
      <c r="AU39" s="374"/>
      <c r="AV39" s="374"/>
      <c r="AW39" s="374"/>
      <c r="AX39" s="374"/>
      <c r="AY39" s="552"/>
      <c r="AZ39" s="552"/>
      <c r="BA39" s="552"/>
      <c r="BB39" s="552"/>
      <c r="BC39" s="552"/>
      <c r="BD39" s="552"/>
      <c r="BE39" s="552"/>
      <c r="BF39" s="552"/>
      <c r="BG39" s="135"/>
      <c r="BJ39" s="135"/>
      <c r="BK39" s="135"/>
      <c r="BL39" s="135"/>
      <c r="BM39" s="395"/>
      <c r="BN39" s="395"/>
      <c r="BO39" s="395"/>
      <c r="BP39" s="395"/>
      <c r="BQ39" s="395"/>
      <c r="BR39" s="395"/>
      <c r="BS39" s="395"/>
      <c r="BT39" s="395"/>
      <c r="BU39" s="395"/>
    </row>
    <row r="40" spans="1:74" s="553" customFormat="1" ht="31.95" customHeight="1">
      <c r="A40" s="398" t="s">
        <v>1075</v>
      </c>
      <c r="B40" s="541" t="s">
        <v>1076</v>
      </c>
      <c r="C40" s="549">
        <f t="shared" ref="C40:C75" si="18">C39+1</f>
        <v>27</v>
      </c>
      <c r="D40" s="549">
        <v>20049</v>
      </c>
      <c r="E40" s="550" t="s">
        <v>1110</v>
      </c>
      <c r="F40" s="132">
        <v>460000</v>
      </c>
      <c r="G40" s="132"/>
      <c r="H40" s="132">
        <f t="shared" si="12"/>
        <v>460000</v>
      </c>
      <c r="I40" s="132"/>
      <c r="J40" s="132"/>
      <c r="K40" s="132"/>
      <c r="L40" s="132"/>
      <c r="M40" s="132">
        <f t="shared" si="13"/>
        <v>0</v>
      </c>
      <c r="N40" s="132">
        <f t="shared" si="14"/>
        <v>0</v>
      </c>
      <c r="O40" s="132">
        <v>460000</v>
      </c>
      <c r="P40" s="132">
        <f t="shared" si="15"/>
        <v>0</v>
      </c>
      <c r="Q40" s="132">
        <f t="shared" si="16"/>
        <v>0</v>
      </c>
      <c r="R40" s="132">
        <f>O40-Q40</f>
        <v>460000</v>
      </c>
      <c r="S40" s="132"/>
      <c r="T40" s="132">
        <v>460000</v>
      </c>
      <c r="U40" s="132">
        <v>240000</v>
      </c>
      <c r="V40" s="132">
        <v>220000</v>
      </c>
      <c r="W40" s="132"/>
      <c r="X40" s="551" t="s">
        <v>1111</v>
      </c>
      <c r="Y40" s="132"/>
      <c r="Z40" s="132">
        <v>460000</v>
      </c>
      <c r="AA40" s="132"/>
      <c r="AB40" s="132"/>
      <c r="AC40" s="132"/>
      <c r="AD40" s="132"/>
      <c r="AE40" s="132"/>
      <c r="AF40" s="132"/>
      <c r="AG40" s="132"/>
      <c r="AH40" s="132"/>
      <c r="AI40" s="132">
        <v>460000</v>
      </c>
      <c r="AJ40" s="132">
        <v>0</v>
      </c>
      <c r="AK40" s="132">
        <v>240000</v>
      </c>
      <c r="AL40" s="132">
        <v>220000</v>
      </c>
      <c r="AM40" s="132"/>
      <c r="AN40" s="132">
        <f t="shared" si="17"/>
        <v>0</v>
      </c>
      <c r="AO40" s="132"/>
      <c r="AP40" s="132"/>
      <c r="AQ40" s="374"/>
      <c r="AR40" s="374"/>
      <c r="AS40" s="374"/>
      <c r="AT40" s="374"/>
      <c r="AU40" s="374"/>
      <c r="AV40" s="374"/>
      <c r="AW40" s="374"/>
      <c r="AX40" s="374"/>
      <c r="AY40" s="552"/>
      <c r="AZ40" s="552"/>
      <c r="BA40" s="552"/>
      <c r="BB40" s="552"/>
      <c r="BC40" s="552"/>
      <c r="BD40" s="552"/>
      <c r="BE40" s="552"/>
      <c r="BF40" s="552"/>
      <c r="BG40" s="135"/>
      <c r="BJ40" s="135"/>
      <c r="BK40" s="135"/>
      <c r="BL40" s="135"/>
      <c r="BM40" s="395"/>
      <c r="BN40" s="395"/>
      <c r="BO40" s="395"/>
      <c r="BP40" s="395"/>
      <c r="BQ40" s="395"/>
      <c r="BR40" s="395"/>
      <c r="BS40" s="395"/>
      <c r="BT40" s="395"/>
      <c r="BU40" s="395"/>
    </row>
    <row r="41" spans="1:74" s="553" customFormat="1" ht="31.95" customHeight="1">
      <c r="A41" s="398" t="s">
        <v>1078</v>
      </c>
      <c r="B41" s="541" t="s">
        <v>1079</v>
      </c>
      <c r="C41" s="549">
        <f t="shared" si="18"/>
        <v>28</v>
      </c>
      <c r="D41" s="549">
        <v>2030</v>
      </c>
      <c r="E41" s="550" t="s">
        <v>245</v>
      </c>
      <c r="F41" s="132">
        <v>31500000</v>
      </c>
      <c r="G41" s="132">
        <v>31500000</v>
      </c>
      <c r="H41" s="132">
        <f t="shared" si="12"/>
        <v>0</v>
      </c>
      <c r="I41" s="132">
        <v>12500000</v>
      </c>
      <c r="J41" s="132">
        <v>6708562.2000000002</v>
      </c>
      <c r="K41" s="132"/>
      <c r="L41" s="132"/>
      <c r="M41" s="132">
        <f t="shared" si="13"/>
        <v>0</v>
      </c>
      <c r="N41" s="132">
        <f t="shared" si="14"/>
        <v>6708562.2000000002</v>
      </c>
      <c r="O41" s="132">
        <f>171977+3750000+5791437.8</f>
        <v>9713414.8000000007</v>
      </c>
      <c r="P41" s="132">
        <f t="shared" si="15"/>
        <v>15078023</v>
      </c>
      <c r="Q41" s="132">
        <f t="shared" si="16"/>
        <v>5791437.7999999998</v>
      </c>
      <c r="R41" s="132">
        <f t="shared" ref="R41:R75" si="19">O41-Q41</f>
        <v>3921977.0000000009</v>
      </c>
      <c r="S41" s="132">
        <v>3750000</v>
      </c>
      <c r="T41" s="132">
        <v>171977.00000000093</v>
      </c>
      <c r="U41" s="132">
        <v>9.3132257461547852E-10</v>
      </c>
      <c r="V41" s="132"/>
      <c r="W41" s="132">
        <v>171977</v>
      </c>
      <c r="X41" s="551" t="s">
        <v>1112</v>
      </c>
      <c r="Y41" s="132"/>
      <c r="Z41" s="132"/>
      <c r="AA41" s="132">
        <v>171977</v>
      </c>
      <c r="AB41" s="132"/>
      <c r="AC41" s="132"/>
      <c r="AD41" s="132"/>
      <c r="AE41" s="132"/>
      <c r="AF41" s="132"/>
      <c r="AG41" s="132"/>
      <c r="AH41" s="132"/>
      <c r="AI41" s="132">
        <v>171977</v>
      </c>
      <c r="AJ41" s="132">
        <v>9.3132257461547852E-10</v>
      </c>
      <c r="AK41" s="132">
        <v>0</v>
      </c>
      <c r="AL41" s="132"/>
      <c r="AM41" s="132">
        <v>171977</v>
      </c>
      <c r="AN41" s="132">
        <f t="shared" si="17"/>
        <v>0</v>
      </c>
      <c r="AO41" s="132"/>
      <c r="AP41" s="132"/>
      <c r="AQ41" s="374"/>
      <c r="AR41" s="374"/>
      <c r="AS41" s="374"/>
      <c r="AT41" s="374"/>
      <c r="AU41" s="374"/>
      <c r="AV41" s="374"/>
      <c r="AW41" s="374"/>
      <c r="AX41" s="374"/>
      <c r="AY41" s="552"/>
      <c r="AZ41" s="552"/>
      <c r="BA41" s="552"/>
      <c r="BB41" s="552"/>
      <c r="BC41" s="552"/>
      <c r="BD41" s="552"/>
      <c r="BE41" s="552"/>
      <c r="BF41" s="552"/>
      <c r="BG41" s="135"/>
      <c r="BJ41" s="135"/>
      <c r="BK41" s="135"/>
      <c r="BL41" s="135"/>
      <c r="BM41" s="395"/>
      <c r="BN41" s="395"/>
      <c r="BO41" s="395"/>
      <c r="BP41" s="395"/>
      <c r="BQ41" s="395"/>
      <c r="BR41" s="395"/>
      <c r="BS41" s="395"/>
      <c r="BT41" s="395"/>
      <c r="BU41" s="395"/>
    </row>
    <row r="42" spans="1:74" s="553" customFormat="1" ht="31.95" customHeight="1">
      <c r="A42" s="398" t="s">
        <v>1078</v>
      </c>
      <c r="B42" s="541" t="s">
        <v>1079</v>
      </c>
      <c r="C42" s="549">
        <f t="shared" si="18"/>
        <v>29</v>
      </c>
      <c r="D42" s="549">
        <v>2043</v>
      </c>
      <c r="E42" s="550" t="s">
        <v>841</v>
      </c>
      <c r="F42" s="132">
        <f>9750000+600000</f>
        <v>10350000</v>
      </c>
      <c r="G42" s="132">
        <v>9750000</v>
      </c>
      <c r="H42" s="132">
        <f t="shared" si="12"/>
        <v>600000</v>
      </c>
      <c r="I42" s="132">
        <v>6750000</v>
      </c>
      <c r="J42" s="132">
        <v>6553039.4400000004</v>
      </c>
      <c r="K42" s="132"/>
      <c r="L42" s="132"/>
      <c r="M42" s="132">
        <f t="shared" si="13"/>
        <v>0</v>
      </c>
      <c r="N42" s="132">
        <f t="shared" si="14"/>
        <v>6553039.4400000004</v>
      </c>
      <c r="O42" s="132">
        <f>196960.56+3000000+600000</f>
        <v>3796960.56</v>
      </c>
      <c r="P42" s="132">
        <f t="shared" si="15"/>
        <v>0</v>
      </c>
      <c r="Q42" s="132">
        <f t="shared" si="16"/>
        <v>196960.55999999959</v>
      </c>
      <c r="R42" s="132">
        <f t="shared" si="19"/>
        <v>3600000.0000000005</v>
      </c>
      <c r="S42" s="132">
        <v>3000000</v>
      </c>
      <c r="T42" s="132">
        <v>600000.00000000047</v>
      </c>
      <c r="U42" s="132">
        <v>4.6566128730773926E-10</v>
      </c>
      <c r="V42" s="132">
        <v>600000</v>
      </c>
      <c r="W42" s="132"/>
      <c r="X42" s="551" t="s">
        <v>1113</v>
      </c>
      <c r="Y42" s="132"/>
      <c r="Z42" s="132"/>
      <c r="AA42" s="132">
        <v>600000</v>
      </c>
      <c r="AB42" s="132"/>
      <c r="AC42" s="132"/>
      <c r="AD42" s="132"/>
      <c r="AE42" s="132"/>
      <c r="AF42" s="132"/>
      <c r="AG42" s="132"/>
      <c r="AH42" s="132"/>
      <c r="AI42" s="132">
        <v>600000</v>
      </c>
      <c r="AJ42" s="132">
        <v>0</v>
      </c>
      <c r="AK42" s="132">
        <v>0</v>
      </c>
      <c r="AL42" s="132">
        <v>600000</v>
      </c>
      <c r="AM42" s="132"/>
      <c r="AN42" s="132">
        <f t="shared" si="17"/>
        <v>0</v>
      </c>
      <c r="AO42" s="132"/>
      <c r="AP42" s="132"/>
      <c r="AQ42" s="374"/>
      <c r="AR42" s="374"/>
      <c r="AS42" s="374"/>
      <c r="AT42" s="374"/>
      <c r="AU42" s="374"/>
      <c r="AV42" s="374"/>
      <c r="AW42" s="374"/>
      <c r="AX42" s="374"/>
      <c r="AY42" s="552"/>
      <c r="AZ42" s="552"/>
      <c r="BA42" s="552"/>
      <c r="BB42" s="552"/>
      <c r="BC42" s="552"/>
      <c r="BD42" s="552"/>
      <c r="BE42" s="552"/>
      <c r="BF42" s="552"/>
      <c r="BG42" s="135"/>
      <c r="BJ42" s="135"/>
      <c r="BK42" s="135"/>
      <c r="BL42" s="135"/>
      <c r="BM42" s="395"/>
      <c r="BN42" s="395"/>
      <c r="BO42" s="395"/>
      <c r="BP42" s="395"/>
      <c r="BQ42" s="395"/>
      <c r="BR42" s="395"/>
      <c r="BS42" s="395"/>
      <c r="BT42" s="395"/>
      <c r="BU42" s="395"/>
    </row>
    <row r="43" spans="1:74" s="553" customFormat="1" ht="31.95" customHeight="1">
      <c r="A43" s="398" t="s">
        <v>1078</v>
      </c>
      <c r="B43" s="541" t="s">
        <v>1079</v>
      </c>
      <c r="C43" s="549">
        <f t="shared" si="18"/>
        <v>30</v>
      </c>
      <c r="D43" s="549">
        <v>2133</v>
      </c>
      <c r="E43" s="550" t="s">
        <v>407</v>
      </c>
      <c r="F43" s="132">
        <v>5150000</v>
      </c>
      <c r="G43" s="132">
        <v>5150000</v>
      </c>
      <c r="H43" s="132">
        <f t="shared" si="12"/>
        <v>0</v>
      </c>
      <c r="I43" s="132">
        <v>3150000</v>
      </c>
      <c r="J43" s="132">
        <v>1839057.99</v>
      </c>
      <c r="K43" s="132"/>
      <c r="L43" s="132"/>
      <c r="M43" s="132">
        <f t="shared" si="13"/>
        <v>0</v>
      </c>
      <c r="N43" s="132">
        <f t="shared" si="14"/>
        <v>1839057.99</v>
      </c>
      <c r="O43" s="132">
        <f>1000000+1310942.01</f>
        <v>2310942.0099999998</v>
      </c>
      <c r="P43" s="132">
        <f t="shared" si="15"/>
        <v>1000000</v>
      </c>
      <c r="Q43" s="132">
        <f t="shared" si="16"/>
        <v>1310942.01</v>
      </c>
      <c r="R43" s="132">
        <f t="shared" si="19"/>
        <v>999999.99999999977</v>
      </c>
      <c r="S43" s="132">
        <v>2000000</v>
      </c>
      <c r="T43" s="132">
        <v>-1000000.0000000002</v>
      </c>
      <c r="U43" s="132">
        <v>-2.3283064365386963E-10</v>
      </c>
      <c r="V43" s="132">
        <v>-1000000</v>
      </c>
      <c r="W43" s="132"/>
      <c r="X43" s="551" t="s">
        <v>1114</v>
      </c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>
        <v>0</v>
      </c>
      <c r="AJ43" s="132">
        <v>-1000000.0000000002</v>
      </c>
      <c r="AK43" s="132">
        <v>0</v>
      </c>
      <c r="AL43" s="132"/>
      <c r="AM43" s="132"/>
      <c r="AN43" s="132">
        <f t="shared" si="17"/>
        <v>0</v>
      </c>
      <c r="AO43" s="132"/>
      <c r="AP43" s="132"/>
      <c r="AQ43" s="374"/>
      <c r="AR43" s="374"/>
      <c r="AS43" s="374"/>
      <c r="AT43" s="374"/>
      <c r="AU43" s="374"/>
      <c r="AV43" s="374"/>
      <c r="AW43" s="374"/>
      <c r="AX43" s="374"/>
      <c r="AY43" s="552"/>
      <c r="AZ43" s="552"/>
      <c r="BA43" s="552"/>
      <c r="BB43" s="552"/>
      <c r="BC43" s="552"/>
      <c r="BD43" s="552"/>
      <c r="BE43" s="552"/>
      <c r="BF43" s="552"/>
      <c r="BG43" s="135"/>
      <c r="BJ43" s="135"/>
      <c r="BK43" s="135"/>
      <c r="BL43" s="135"/>
      <c r="BM43" s="395"/>
      <c r="BN43" s="395"/>
      <c r="BO43" s="395"/>
      <c r="BP43" s="395"/>
      <c r="BQ43" s="395"/>
      <c r="BR43" s="395"/>
      <c r="BS43" s="395"/>
      <c r="BT43" s="395"/>
      <c r="BU43" s="395"/>
    </row>
    <row r="44" spans="1:74" s="553" customFormat="1" ht="31.95" customHeight="1">
      <c r="A44" s="398" t="s">
        <v>1078</v>
      </c>
      <c r="B44" s="541" t="s">
        <v>1079</v>
      </c>
      <c r="C44" s="549">
        <f t="shared" si="18"/>
        <v>31</v>
      </c>
      <c r="D44" s="549">
        <v>20020</v>
      </c>
      <c r="E44" s="550" t="s">
        <v>716</v>
      </c>
      <c r="F44" s="132">
        <f>300000+430000</f>
        <v>730000</v>
      </c>
      <c r="G44" s="132">
        <v>300000</v>
      </c>
      <c r="H44" s="132">
        <f t="shared" si="12"/>
        <v>430000</v>
      </c>
      <c r="I44" s="132"/>
      <c r="J44" s="132"/>
      <c r="K44" s="132"/>
      <c r="L44" s="132"/>
      <c r="M44" s="132">
        <f t="shared" si="13"/>
        <v>0</v>
      </c>
      <c r="N44" s="132">
        <f t="shared" si="14"/>
        <v>0</v>
      </c>
      <c r="O44" s="132">
        <f>300000+430000</f>
        <v>730000</v>
      </c>
      <c r="P44" s="132">
        <f t="shared" si="15"/>
        <v>0</v>
      </c>
      <c r="Q44" s="132">
        <f t="shared" si="16"/>
        <v>0</v>
      </c>
      <c r="R44" s="132">
        <f t="shared" si="19"/>
        <v>730000</v>
      </c>
      <c r="S44" s="132">
        <v>300000</v>
      </c>
      <c r="T44" s="132">
        <v>430000</v>
      </c>
      <c r="U44" s="132">
        <v>0</v>
      </c>
      <c r="V44" s="132">
        <v>430000</v>
      </c>
      <c r="W44" s="132"/>
      <c r="X44" s="551" t="s">
        <v>1113</v>
      </c>
      <c r="Y44" s="132"/>
      <c r="Z44" s="132"/>
      <c r="AA44" s="132">
        <v>430000</v>
      </c>
      <c r="AB44" s="132"/>
      <c r="AC44" s="132"/>
      <c r="AD44" s="132"/>
      <c r="AE44" s="132"/>
      <c r="AF44" s="132"/>
      <c r="AG44" s="132"/>
      <c r="AH44" s="132"/>
      <c r="AI44" s="132">
        <v>430000</v>
      </c>
      <c r="AJ44" s="132">
        <v>0</v>
      </c>
      <c r="AK44" s="132">
        <v>0</v>
      </c>
      <c r="AL44" s="132">
        <v>430000</v>
      </c>
      <c r="AM44" s="132"/>
      <c r="AN44" s="132">
        <f t="shared" si="17"/>
        <v>0</v>
      </c>
      <c r="AO44" s="132"/>
      <c r="AP44" s="132"/>
      <c r="AQ44" s="374"/>
      <c r="AR44" s="374"/>
      <c r="AS44" s="374"/>
      <c r="AT44" s="374"/>
      <c r="AU44" s="374"/>
      <c r="AV44" s="374"/>
      <c r="AW44" s="374"/>
      <c r="AX44" s="374"/>
      <c r="AY44" s="552"/>
      <c r="AZ44" s="552"/>
      <c r="BA44" s="552"/>
      <c r="BB44" s="552"/>
      <c r="BC44" s="552"/>
      <c r="BD44" s="552"/>
      <c r="BE44" s="552"/>
      <c r="BF44" s="552"/>
      <c r="BG44" s="135"/>
      <c r="BJ44" s="135"/>
      <c r="BK44" s="135"/>
      <c r="BL44" s="135"/>
      <c r="BM44" s="395"/>
      <c r="BN44" s="395"/>
      <c r="BO44" s="395"/>
      <c r="BP44" s="395"/>
      <c r="BQ44" s="395"/>
      <c r="BR44" s="395"/>
      <c r="BS44" s="395"/>
      <c r="BT44" s="395"/>
      <c r="BU44" s="395"/>
    </row>
    <row r="45" spans="1:74" s="553" customFormat="1" ht="31.95" customHeight="1">
      <c r="A45" s="398" t="s">
        <v>1078</v>
      </c>
      <c r="B45" s="541" t="s">
        <v>1079</v>
      </c>
      <c r="C45" s="549">
        <f t="shared" si="18"/>
        <v>32</v>
      </c>
      <c r="D45" s="549">
        <v>20050</v>
      </c>
      <c r="E45" s="550" t="s">
        <v>1115</v>
      </c>
      <c r="F45" s="132">
        <v>2200000</v>
      </c>
      <c r="G45" s="132"/>
      <c r="H45" s="132">
        <f t="shared" si="12"/>
        <v>2200000</v>
      </c>
      <c r="I45" s="132"/>
      <c r="J45" s="132"/>
      <c r="K45" s="132"/>
      <c r="L45" s="132"/>
      <c r="M45" s="132">
        <f t="shared" si="13"/>
        <v>0</v>
      </c>
      <c r="N45" s="132">
        <f t="shared" si="14"/>
        <v>0</v>
      </c>
      <c r="O45" s="132">
        <v>1200000</v>
      </c>
      <c r="P45" s="132">
        <f t="shared" si="15"/>
        <v>1000000</v>
      </c>
      <c r="Q45" s="132">
        <f t="shared" si="16"/>
        <v>0</v>
      </c>
      <c r="R45" s="132">
        <f t="shared" si="19"/>
        <v>1200000</v>
      </c>
      <c r="S45" s="132"/>
      <c r="T45" s="132">
        <v>1200000</v>
      </c>
      <c r="U45" s="132">
        <v>1200000</v>
      </c>
      <c r="V45" s="132"/>
      <c r="W45" s="132"/>
      <c r="X45" s="551" t="s">
        <v>1116</v>
      </c>
      <c r="Y45" s="132"/>
      <c r="Z45" s="132"/>
      <c r="AA45" s="132">
        <v>1200000</v>
      </c>
      <c r="AB45" s="132"/>
      <c r="AC45" s="132"/>
      <c r="AD45" s="132"/>
      <c r="AE45" s="132"/>
      <c r="AF45" s="132"/>
      <c r="AG45" s="132"/>
      <c r="AH45" s="132"/>
      <c r="AI45" s="132">
        <v>1200000</v>
      </c>
      <c r="AJ45" s="132">
        <v>0</v>
      </c>
      <c r="AK45" s="132">
        <v>1200000</v>
      </c>
      <c r="AL45" s="132"/>
      <c r="AM45" s="132"/>
      <c r="AN45" s="132">
        <f t="shared" si="17"/>
        <v>0</v>
      </c>
      <c r="AO45" s="132"/>
      <c r="AP45" s="132"/>
      <c r="AQ45" s="374"/>
      <c r="AR45" s="374"/>
      <c r="AS45" s="374"/>
      <c r="AT45" s="374"/>
      <c r="AU45" s="374"/>
      <c r="AV45" s="374"/>
      <c r="AW45" s="374"/>
      <c r="AX45" s="374"/>
      <c r="AY45" s="552"/>
      <c r="AZ45" s="552"/>
      <c r="BA45" s="552"/>
      <c r="BB45" s="552"/>
      <c r="BC45" s="552"/>
      <c r="BD45" s="552"/>
      <c r="BE45" s="552"/>
      <c r="BF45" s="552"/>
      <c r="BG45" s="135"/>
      <c r="BJ45" s="135"/>
      <c r="BK45" s="135"/>
      <c r="BL45" s="135"/>
      <c r="BM45" s="395"/>
      <c r="BN45" s="395"/>
      <c r="BO45" s="395"/>
      <c r="BP45" s="395"/>
      <c r="BQ45" s="395"/>
      <c r="BR45" s="395"/>
      <c r="BS45" s="395"/>
      <c r="BT45" s="395"/>
      <c r="BU45" s="395"/>
    </row>
    <row r="46" spans="1:74" s="553" customFormat="1" ht="31.95" customHeight="1">
      <c r="A46" s="398" t="s">
        <v>1083</v>
      </c>
      <c r="B46" s="541" t="s">
        <v>1117</v>
      </c>
      <c r="C46" s="549">
        <f t="shared" si="18"/>
        <v>33</v>
      </c>
      <c r="D46" s="549">
        <v>1850</v>
      </c>
      <c r="E46" s="550" t="s">
        <v>451</v>
      </c>
      <c r="F46" s="132">
        <v>14600000</v>
      </c>
      <c r="G46" s="132">
        <v>14600000</v>
      </c>
      <c r="H46" s="132">
        <v>0</v>
      </c>
      <c r="I46" s="132">
        <v>5250000</v>
      </c>
      <c r="J46" s="132">
        <v>5249430</v>
      </c>
      <c r="K46" s="132"/>
      <c r="L46" s="132"/>
      <c r="M46" s="132">
        <v>0</v>
      </c>
      <c r="N46" s="132">
        <v>5249430</v>
      </c>
      <c r="O46" s="132">
        <v>650570</v>
      </c>
      <c r="P46" s="132">
        <v>8700000</v>
      </c>
      <c r="Q46" s="132">
        <v>570</v>
      </c>
      <c r="R46" s="132">
        <f t="shared" si="19"/>
        <v>650000</v>
      </c>
      <c r="S46" s="132">
        <v>500000</v>
      </c>
      <c r="T46" s="132">
        <v>150000</v>
      </c>
      <c r="U46" s="132">
        <v>0</v>
      </c>
      <c r="V46" s="132">
        <v>150000</v>
      </c>
      <c r="W46" s="132"/>
      <c r="X46" s="551" t="s">
        <v>1118</v>
      </c>
      <c r="Y46" s="132"/>
      <c r="Z46" s="132"/>
      <c r="AA46" s="132"/>
      <c r="AB46" s="132">
        <v>150000</v>
      </c>
      <c r="AC46" s="132"/>
      <c r="AD46" s="132"/>
      <c r="AE46" s="132"/>
      <c r="AF46" s="132"/>
      <c r="AG46" s="132"/>
      <c r="AH46" s="132"/>
      <c r="AI46" s="132">
        <v>150000</v>
      </c>
      <c r="AJ46" s="132">
        <v>0</v>
      </c>
      <c r="AK46" s="132">
        <v>0</v>
      </c>
      <c r="AL46" s="132">
        <v>150000</v>
      </c>
      <c r="AM46" s="132"/>
      <c r="AN46" s="132">
        <f t="shared" si="17"/>
        <v>0</v>
      </c>
      <c r="AO46" s="132"/>
      <c r="AP46" s="132"/>
      <c r="AQ46" s="374"/>
      <c r="AR46" s="374"/>
      <c r="AS46" s="374"/>
      <c r="AT46" s="374"/>
      <c r="AU46" s="374"/>
      <c r="AV46" s="374"/>
      <c r="AW46" s="374"/>
      <c r="AX46" s="374"/>
      <c r="AY46" s="552"/>
      <c r="AZ46" s="552"/>
      <c r="BA46" s="552"/>
      <c r="BB46" s="552"/>
      <c r="BC46" s="552"/>
      <c r="BD46" s="552"/>
      <c r="BE46" s="552"/>
      <c r="BF46" s="552"/>
      <c r="BG46" s="135"/>
      <c r="BJ46" s="135"/>
      <c r="BK46" s="135"/>
      <c r="BL46" s="135"/>
      <c r="BM46" s="395"/>
      <c r="BN46" s="395"/>
      <c r="BO46" s="395"/>
      <c r="BP46" s="395"/>
      <c r="BQ46" s="395"/>
      <c r="BR46" s="395"/>
      <c r="BS46" s="395"/>
      <c r="BT46" s="395"/>
      <c r="BU46" s="395"/>
    </row>
    <row r="47" spans="1:74" s="553" customFormat="1" ht="31.95" customHeight="1">
      <c r="A47" s="398" t="s">
        <v>1083</v>
      </c>
      <c r="B47" s="541" t="s">
        <v>1084</v>
      </c>
      <c r="C47" s="549">
        <f t="shared" si="18"/>
        <v>34</v>
      </c>
      <c r="D47" s="549">
        <v>2166</v>
      </c>
      <c r="E47" s="550" t="s">
        <v>441</v>
      </c>
      <c r="F47" s="132">
        <v>500000</v>
      </c>
      <c r="G47" s="132">
        <v>500000</v>
      </c>
      <c r="H47" s="132">
        <v>0</v>
      </c>
      <c r="I47" s="132"/>
      <c r="J47" s="132"/>
      <c r="K47" s="132"/>
      <c r="L47" s="132"/>
      <c r="M47" s="132">
        <v>0</v>
      </c>
      <c r="N47" s="132">
        <v>0</v>
      </c>
      <c r="O47" s="132"/>
      <c r="P47" s="132">
        <v>500000</v>
      </c>
      <c r="Q47" s="132">
        <v>0</v>
      </c>
      <c r="R47" s="132">
        <f t="shared" si="19"/>
        <v>0</v>
      </c>
      <c r="S47" s="132">
        <v>500000</v>
      </c>
      <c r="T47" s="132">
        <v>-500000</v>
      </c>
      <c r="U47" s="132">
        <v>0</v>
      </c>
      <c r="V47" s="132">
        <v>-500000</v>
      </c>
      <c r="W47" s="132"/>
      <c r="X47" s="551" t="s">
        <v>1119</v>
      </c>
      <c r="Y47" s="132"/>
      <c r="Z47" s="132"/>
      <c r="AA47" s="132"/>
      <c r="AB47" s="132">
        <v>-100000</v>
      </c>
      <c r="AC47" s="132"/>
      <c r="AD47" s="132"/>
      <c r="AE47" s="132"/>
      <c r="AF47" s="132"/>
      <c r="AG47" s="132"/>
      <c r="AH47" s="132"/>
      <c r="AI47" s="132">
        <v>-100000</v>
      </c>
      <c r="AJ47" s="132">
        <v>-400000</v>
      </c>
      <c r="AK47" s="132">
        <v>0</v>
      </c>
      <c r="AL47" s="132">
        <v>-100000</v>
      </c>
      <c r="AM47" s="132"/>
      <c r="AN47" s="132">
        <f t="shared" si="17"/>
        <v>0</v>
      </c>
      <c r="AO47" s="132"/>
      <c r="AP47" s="132"/>
      <c r="AQ47" s="374"/>
      <c r="AR47" s="374"/>
      <c r="AS47" s="374"/>
      <c r="AT47" s="374"/>
      <c r="AU47" s="374"/>
      <c r="AV47" s="374"/>
      <c r="AW47" s="374"/>
      <c r="AX47" s="374"/>
      <c r="AY47" s="552"/>
      <c r="AZ47" s="552"/>
      <c r="BA47" s="552"/>
      <c r="BB47" s="552"/>
      <c r="BC47" s="552"/>
      <c r="BD47" s="552"/>
      <c r="BE47" s="552"/>
      <c r="BF47" s="552"/>
      <c r="BG47" s="135"/>
      <c r="BJ47" s="135"/>
      <c r="BK47" s="135"/>
      <c r="BL47" s="135"/>
      <c r="BM47" s="395"/>
      <c r="BN47" s="395"/>
      <c r="BO47" s="395"/>
      <c r="BP47" s="395"/>
      <c r="BQ47" s="395"/>
      <c r="BR47" s="395"/>
      <c r="BS47" s="395"/>
      <c r="BT47" s="395"/>
      <c r="BU47" s="395"/>
    </row>
    <row r="48" spans="1:74" s="553" customFormat="1" ht="31.95" customHeight="1">
      <c r="A48" s="398" t="s">
        <v>1083</v>
      </c>
      <c r="B48" s="541" t="s">
        <v>1084</v>
      </c>
      <c r="C48" s="549">
        <f t="shared" si="18"/>
        <v>35</v>
      </c>
      <c r="D48" s="549">
        <v>2178</v>
      </c>
      <c r="E48" s="550" t="s">
        <v>489</v>
      </c>
      <c r="F48" s="132">
        <v>2100000</v>
      </c>
      <c r="G48" s="132">
        <v>2100000</v>
      </c>
      <c r="H48" s="132">
        <v>0</v>
      </c>
      <c r="I48" s="132">
        <v>2100000</v>
      </c>
      <c r="J48" s="132">
        <v>1658344</v>
      </c>
      <c r="K48" s="132"/>
      <c r="L48" s="132"/>
      <c r="M48" s="132">
        <v>0</v>
      </c>
      <c r="N48" s="132">
        <v>1658344</v>
      </c>
      <c r="O48" s="132">
        <v>41656</v>
      </c>
      <c r="P48" s="132">
        <v>400000</v>
      </c>
      <c r="Q48" s="132">
        <v>441656</v>
      </c>
      <c r="R48" s="132">
        <f t="shared" si="19"/>
        <v>-400000</v>
      </c>
      <c r="S48" s="132"/>
      <c r="T48" s="132">
        <v>-400000</v>
      </c>
      <c r="U48" s="132">
        <v>-400000</v>
      </c>
      <c r="V48" s="132">
        <v>0</v>
      </c>
      <c r="W48" s="132"/>
      <c r="X48" s="551" t="s">
        <v>1120</v>
      </c>
      <c r="Y48" s="132"/>
      <c r="Z48" s="132"/>
      <c r="AA48" s="132"/>
      <c r="AB48" s="132">
        <v>-400000</v>
      </c>
      <c r="AC48" s="132"/>
      <c r="AD48" s="132"/>
      <c r="AE48" s="132"/>
      <c r="AF48" s="132"/>
      <c r="AG48" s="132"/>
      <c r="AH48" s="132"/>
      <c r="AI48" s="132">
        <v>-400000</v>
      </c>
      <c r="AJ48" s="132">
        <v>0</v>
      </c>
      <c r="AK48" s="132">
        <v>-400000</v>
      </c>
      <c r="AL48" s="132"/>
      <c r="AM48" s="132"/>
      <c r="AN48" s="132">
        <f t="shared" si="17"/>
        <v>0</v>
      </c>
      <c r="AO48" s="132"/>
      <c r="AP48" s="132"/>
      <c r="AQ48" s="374"/>
      <c r="AR48" s="374"/>
      <c r="AS48" s="374"/>
      <c r="AT48" s="374"/>
      <c r="AU48" s="374"/>
      <c r="AV48" s="374"/>
      <c r="AW48" s="374"/>
      <c r="AX48" s="374"/>
      <c r="AY48" s="552"/>
      <c r="AZ48" s="552"/>
      <c r="BA48" s="552"/>
      <c r="BB48" s="552"/>
      <c r="BC48" s="552"/>
      <c r="BD48" s="552"/>
      <c r="BE48" s="552"/>
      <c r="BF48" s="552"/>
      <c r="BG48" s="135"/>
      <c r="BJ48" s="135"/>
      <c r="BK48" s="135"/>
      <c r="BL48" s="135"/>
      <c r="BM48" s="395"/>
      <c r="BN48" s="395"/>
      <c r="BO48" s="395"/>
      <c r="BP48" s="395"/>
      <c r="BQ48" s="395"/>
      <c r="BR48" s="395"/>
      <c r="BS48" s="395"/>
      <c r="BT48" s="395"/>
      <c r="BU48" s="395"/>
    </row>
    <row r="49" spans="1:73" s="553" customFormat="1" ht="31.95" customHeight="1">
      <c r="A49" s="398" t="s">
        <v>1083</v>
      </c>
      <c r="B49" s="541" t="s">
        <v>1084</v>
      </c>
      <c r="C49" s="549">
        <f t="shared" si="18"/>
        <v>36</v>
      </c>
      <c r="D49" s="549">
        <v>20030</v>
      </c>
      <c r="E49" s="550" t="s">
        <v>726</v>
      </c>
      <c r="F49" s="132">
        <v>15200000</v>
      </c>
      <c r="G49" s="132">
        <v>8700000</v>
      </c>
      <c r="H49" s="132">
        <f t="shared" ref="H49:H75" si="20">F49-G49</f>
        <v>6500000</v>
      </c>
      <c r="I49" s="132"/>
      <c r="J49" s="132"/>
      <c r="K49" s="132"/>
      <c r="L49" s="132"/>
      <c r="M49" s="132">
        <v>0</v>
      </c>
      <c r="N49" s="132">
        <v>0</v>
      </c>
      <c r="O49" s="132">
        <v>15200000</v>
      </c>
      <c r="P49" s="132">
        <v>0</v>
      </c>
      <c r="Q49" s="132">
        <v>0</v>
      </c>
      <c r="R49" s="132">
        <f t="shared" si="19"/>
        <v>15200000</v>
      </c>
      <c r="S49" s="132">
        <v>6500000</v>
      </c>
      <c r="T49" s="132">
        <v>8700000</v>
      </c>
      <c r="U49" s="132">
        <v>1700000</v>
      </c>
      <c r="V49" s="132">
        <v>7000000</v>
      </c>
      <c r="W49" s="132"/>
      <c r="X49" s="551" t="s">
        <v>1121</v>
      </c>
      <c r="Y49" s="132"/>
      <c r="Z49" s="132"/>
      <c r="AA49" s="132"/>
      <c r="AB49" s="132">
        <v>8700000</v>
      </c>
      <c r="AC49" s="132"/>
      <c r="AD49" s="132"/>
      <c r="AE49" s="132"/>
      <c r="AF49" s="132"/>
      <c r="AG49" s="132"/>
      <c r="AH49" s="132"/>
      <c r="AI49" s="132">
        <v>8700000</v>
      </c>
      <c r="AJ49" s="132">
        <v>0</v>
      </c>
      <c r="AK49" s="132">
        <v>1700000</v>
      </c>
      <c r="AL49" s="132">
        <v>7000000</v>
      </c>
      <c r="AM49" s="132"/>
      <c r="AN49" s="132">
        <f t="shared" si="17"/>
        <v>0</v>
      </c>
      <c r="AO49" s="132"/>
      <c r="AP49" s="132"/>
      <c r="AQ49" s="374"/>
      <c r="AR49" s="374"/>
      <c r="AS49" s="374"/>
      <c r="AT49" s="374"/>
      <c r="AU49" s="374"/>
      <c r="AV49" s="374"/>
      <c r="AW49" s="374"/>
      <c r="AX49" s="374"/>
      <c r="AY49" s="552"/>
      <c r="AZ49" s="552"/>
      <c r="BA49" s="552"/>
      <c r="BB49" s="552"/>
      <c r="BC49" s="552"/>
      <c r="BD49" s="552"/>
      <c r="BE49" s="552"/>
      <c r="BF49" s="552"/>
      <c r="BG49" s="135"/>
      <c r="BJ49" s="135"/>
      <c r="BK49" s="135"/>
      <c r="BL49" s="135"/>
      <c r="BM49" s="395"/>
      <c r="BN49" s="395"/>
      <c r="BO49" s="395"/>
      <c r="BP49" s="395"/>
      <c r="BQ49" s="395"/>
      <c r="BR49" s="395"/>
      <c r="BS49" s="395"/>
      <c r="BT49" s="395"/>
      <c r="BU49" s="395"/>
    </row>
    <row r="50" spans="1:73" s="553" customFormat="1" ht="31.95" customHeight="1">
      <c r="A50" s="398" t="s">
        <v>1083</v>
      </c>
      <c r="B50" s="541" t="s">
        <v>1084</v>
      </c>
      <c r="C50" s="549">
        <f t="shared" si="18"/>
        <v>37</v>
      </c>
      <c r="D50" s="549">
        <v>20050</v>
      </c>
      <c r="E50" s="550" t="s">
        <v>1115</v>
      </c>
      <c r="F50" s="132">
        <v>2200000</v>
      </c>
      <c r="G50" s="132"/>
      <c r="H50" s="132">
        <f t="shared" si="20"/>
        <v>2200000</v>
      </c>
      <c r="I50" s="132"/>
      <c r="J50" s="132"/>
      <c r="K50" s="132"/>
      <c r="L50" s="132"/>
      <c r="M50" s="132">
        <v>0</v>
      </c>
      <c r="N50" s="132">
        <v>0</v>
      </c>
      <c r="O50" s="132">
        <v>2200000</v>
      </c>
      <c r="P50" s="132">
        <v>0</v>
      </c>
      <c r="Q50" s="132">
        <v>0</v>
      </c>
      <c r="R50" s="132">
        <f t="shared" si="19"/>
        <v>2200000</v>
      </c>
      <c r="S50" s="132">
        <v>1200000</v>
      </c>
      <c r="T50" s="132">
        <v>1000000</v>
      </c>
      <c r="U50" s="132">
        <v>1000000</v>
      </c>
      <c r="V50" s="132">
        <v>0</v>
      </c>
      <c r="W50" s="132"/>
      <c r="X50" s="551" t="s">
        <v>1122</v>
      </c>
      <c r="Y50" s="132"/>
      <c r="Z50" s="132"/>
      <c r="AA50" s="132"/>
      <c r="AB50" s="132">
        <v>1000000</v>
      </c>
      <c r="AC50" s="132"/>
      <c r="AD50" s="132"/>
      <c r="AE50" s="132"/>
      <c r="AF50" s="132"/>
      <c r="AG50" s="132"/>
      <c r="AH50" s="132"/>
      <c r="AI50" s="132">
        <v>1000000</v>
      </c>
      <c r="AJ50" s="132">
        <v>0</v>
      </c>
      <c r="AK50" s="132">
        <v>1000000</v>
      </c>
      <c r="AL50" s="132"/>
      <c r="AM50" s="132"/>
      <c r="AN50" s="132">
        <f t="shared" si="17"/>
        <v>0</v>
      </c>
      <c r="AO50" s="132"/>
      <c r="AP50" s="132"/>
      <c r="AQ50" s="374"/>
      <c r="AR50" s="374"/>
      <c r="AS50" s="374"/>
      <c r="AT50" s="374"/>
      <c r="AU50" s="374"/>
      <c r="AV50" s="374"/>
      <c r="AW50" s="374"/>
      <c r="AX50" s="374"/>
      <c r="AY50" s="552"/>
      <c r="AZ50" s="552"/>
      <c r="BA50" s="552"/>
      <c r="BB50" s="552"/>
      <c r="BC50" s="552"/>
      <c r="BD50" s="552"/>
      <c r="BE50" s="552"/>
      <c r="BF50" s="552"/>
      <c r="BG50" s="135"/>
      <c r="BJ50" s="135"/>
      <c r="BK50" s="135"/>
      <c r="BL50" s="135"/>
      <c r="BM50" s="395"/>
      <c r="BN50" s="395"/>
      <c r="BO50" s="395"/>
      <c r="BP50" s="395"/>
      <c r="BQ50" s="395"/>
      <c r="BR50" s="395"/>
      <c r="BS50" s="395"/>
      <c r="BT50" s="395"/>
      <c r="BU50" s="395"/>
    </row>
    <row r="51" spans="1:73" s="553" customFormat="1" ht="31.95" customHeight="1">
      <c r="A51" s="398" t="s">
        <v>1083</v>
      </c>
      <c r="B51" s="541" t="s">
        <v>1084</v>
      </c>
      <c r="C51" s="549">
        <f t="shared" si="18"/>
        <v>38</v>
      </c>
      <c r="D51" s="549">
        <v>20051</v>
      </c>
      <c r="E51" s="550" t="s">
        <v>887</v>
      </c>
      <c r="F51" s="132">
        <v>2300000</v>
      </c>
      <c r="G51" s="132"/>
      <c r="H51" s="132">
        <f t="shared" si="20"/>
        <v>2300000</v>
      </c>
      <c r="I51" s="132"/>
      <c r="J51" s="132"/>
      <c r="K51" s="132"/>
      <c r="L51" s="132"/>
      <c r="M51" s="132">
        <v>0</v>
      </c>
      <c r="N51" s="132">
        <v>0</v>
      </c>
      <c r="O51" s="132">
        <v>1500000</v>
      </c>
      <c r="P51" s="132">
        <v>800000</v>
      </c>
      <c r="Q51" s="132">
        <v>0</v>
      </c>
      <c r="R51" s="132">
        <f t="shared" si="19"/>
        <v>1500000</v>
      </c>
      <c r="S51" s="132"/>
      <c r="T51" s="132">
        <v>1500000</v>
      </c>
      <c r="U51" s="132">
        <v>1500000</v>
      </c>
      <c r="V51" s="132">
        <v>0</v>
      </c>
      <c r="W51" s="132"/>
      <c r="X51" s="551" t="s">
        <v>1123</v>
      </c>
      <c r="Y51" s="132"/>
      <c r="Z51" s="132"/>
      <c r="AA51" s="132"/>
      <c r="AB51" s="132">
        <v>1500000</v>
      </c>
      <c r="AC51" s="132"/>
      <c r="AD51" s="132"/>
      <c r="AE51" s="132"/>
      <c r="AF51" s="132"/>
      <c r="AG51" s="132"/>
      <c r="AH51" s="132"/>
      <c r="AI51" s="132">
        <v>1500000</v>
      </c>
      <c r="AJ51" s="132">
        <v>0</v>
      </c>
      <c r="AK51" s="132">
        <v>1500000</v>
      </c>
      <c r="AL51" s="132"/>
      <c r="AM51" s="132"/>
      <c r="AN51" s="132">
        <f t="shared" si="17"/>
        <v>0</v>
      </c>
      <c r="AO51" s="132"/>
      <c r="AP51" s="132"/>
      <c r="AQ51" s="374"/>
      <c r="AR51" s="374"/>
      <c r="AS51" s="374"/>
      <c r="AT51" s="374"/>
      <c r="AU51" s="374"/>
      <c r="AV51" s="374"/>
      <c r="AW51" s="374"/>
      <c r="AX51" s="374"/>
      <c r="AY51" s="552"/>
      <c r="AZ51" s="552"/>
      <c r="BA51" s="552"/>
      <c r="BB51" s="552"/>
      <c r="BC51" s="552"/>
      <c r="BD51" s="552"/>
      <c r="BE51" s="552"/>
      <c r="BF51" s="552"/>
      <c r="BG51" s="135"/>
      <c r="BJ51" s="135"/>
      <c r="BK51" s="135"/>
      <c r="BL51" s="135"/>
      <c r="BM51" s="395"/>
      <c r="BN51" s="395"/>
      <c r="BO51" s="395"/>
      <c r="BP51" s="395"/>
      <c r="BQ51" s="395"/>
      <c r="BR51" s="395"/>
      <c r="BS51" s="395"/>
      <c r="BT51" s="395"/>
      <c r="BU51" s="395"/>
    </row>
    <row r="52" spans="1:73" s="553" customFormat="1" ht="31.95" customHeight="1">
      <c r="A52" s="398" t="s">
        <v>1083</v>
      </c>
      <c r="B52" s="541" t="s">
        <v>1084</v>
      </c>
      <c r="C52" s="549">
        <f t="shared" si="18"/>
        <v>39</v>
      </c>
      <c r="D52" s="549">
        <v>20052</v>
      </c>
      <c r="E52" s="550" t="s">
        <v>1124</v>
      </c>
      <c r="F52" s="132">
        <v>1600000</v>
      </c>
      <c r="G52" s="132"/>
      <c r="H52" s="132">
        <f t="shared" si="20"/>
        <v>1600000</v>
      </c>
      <c r="I52" s="132"/>
      <c r="J52" s="132"/>
      <c r="K52" s="132"/>
      <c r="L52" s="132"/>
      <c r="M52" s="132">
        <v>0</v>
      </c>
      <c r="N52" s="132">
        <v>0</v>
      </c>
      <c r="O52" s="132">
        <v>1600000</v>
      </c>
      <c r="P52" s="132">
        <v>0</v>
      </c>
      <c r="Q52" s="132">
        <v>0</v>
      </c>
      <c r="R52" s="132">
        <f t="shared" si="19"/>
        <v>1600000</v>
      </c>
      <c r="S52" s="132"/>
      <c r="T52" s="132">
        <v>1600000</v>
      </c>
      <c r="U52" s="132">
        <v>0</v>
      </c>
      <c r="V52" s="132">
        <v>1600000</v>
      </c>
      <c r="W52" s="132"/>
      <c r="X52" s="551" t="s">
        <v>1125</v>
      </c>
      <c r="Y52" s="132"/>
      <c r="Z52" s="132"/>
      <c r="AA52" s="132"/>
      <c r="AB52" s="132">
        <v>1600000</v>
      </c>
      <c r="AC52" s="132"/>
      <c r="AD52" s="132"/>
      <c r="AE52" s="132"/>
      <c r="AF52" s="132"/>
      <c r="AG52" s="132"/>
      <c r="AH52" s="132"/>
      <c r="AI52" s="132">
        <v>1600000</v>
      </c>
      <c r="AJ52" s="132">
        <v>0</v>
      </c>
      <c r="AK52" s="132">
        <v>0</v>
      </c>
      <c r="AL52" s="132">
        <v>1600000</v>
      </c>
      <c r="AM52" s="132"/>
      <c r="AN52" s="132">
        <f t="shared" si="17"/>
        <v>0</v>
      </c>
      <c r="AO52" s="132"/>
      <c r="AP52" s="132"/>
      <c r="AQ52" s="374"/>
      <c r="AR52" s="374"/>
      <c r="AS52" s="374"/>
      <c r="AT52" s="374"/>
      <c r="AU52" s="374"/>
      <c r="AV52" s="374"/>
      <c r="AW52" s="374"/>
      <c r="AX52" s="374"/>
      <c r="AY52" s="552"/>
      <c r="AZ52" s="552"/>
      <c r="BA52" s="552"/>
      <c r="BB52" s="552"/>
      <c r="BC52" s="552"/>
      <c r="BD52" s="552"/>
      <c r="BE52" s="552"/>
      <c r="BF52" s="552"/>
      <c r="BG52" s="135"/>
      <c r="BJ52" s="135"/>
      <c r="BK52" s="135"/>
      <c r="BL52" s="135"/>
      <c r="BM52" s="395"/>
      <c r="BN52" s="395"/>
      <c r="BO52" s="395"/>
      <c r="BP52" s="395"/>
      <c r="BQ52" s="395"/>
      <c r="BR52" s="395"/>
      <c r="BS52" s="395"/>
      <c r="BT52" s="395"/>
      <c r="BU52" s="395"/>
    </row>
    <row r="53" spans="1:73" s="553" customFormat="1" ht="31.95" customHeight="1">
      <c r="A53" s="398" t="s">
        <v>1086</v>
      </c>
      <c r="B53" s="541" t="s">
        <v>1087</v>
      </c>
      <c r="C53" s="549">
        <f t="shared" si="18"/>
        <v>40</v>
      </c>
      <c r="D53" s="549">
        <v>20030</v>
      </c>
      <c r="E53" s="550" t="s">
        <v>726</v>
      </c>
      <c r="F53" s="132">
        <v>17000000</v>
      </c>
      <c r="G53" s="132">
        <v>15200000</v>
      </c>
      <c r="H53" s="132">
        <f t="shared" si="20"/>
        <v>1800000</v>
      </c>
      <c r="I53" s="132"/>
      <c r="J53" s="132"/>
      <c r="K53" s="132"/>
      <c r="L53" s="132"/>
      <c r="M53" s="132"/>
      <c r="N53" s="132"/>
      <c r="O53" s="132">
        <v>17000000</v>
      </c>
      <c r="P53" s="132"/>
      <c r="Q53" s="132">
        <v>0</v>
      </c>
      <c r="R53" s="132">
        <f t="shared" si="19"/>
        <v>17000000</v>
      </c>
      <c r="S53" s="132">
        <v>15200000</v>
      </c>
      <c r="T53" s="132">
        <v>1800000</v>
      </c>
      <c r="U53" s="132"/>
      <c r="V53" s="132">
        <v>1173000</v>
      </c>
      <c r="W53" s="132">
        <v>627000</v>
      </c>
      <c r="X53" s="551" t="s">
        <v>1126</v>
      </c>
      <c r="Y53" s="132"/>
      <c r="Z53" s="132"/>
      <c r="AA53" s="132"/>
      <c r="AB53" s="132"/>
      <c r="AC53" s="132"/>
      <c r="AD53" s="132"/>
      <c r="AE53" s="132"/>
      <c r="AF53" s="132">
        <v>1800000</v>
      </c>
      <c r="AG53" s="132"/>
      <c r="AH53" s="132"/>
      <c r="AI53" s="132">
        <v>1800000</v>
      </c>
      <c r="AJ53" s="560">
        <v>0</v>
      </c>
      <c r="AK53" s="132">
        <v>0</v>
      </c>
      <c r="AL53" s="132">
        <v>1173000</v>
      </c>
      <c r="AM53" s="132">
        <v>627000</v>
      </c>
      <c r="AN53" s="132">
        <f t="shared" si="17"/>
        <v>0</v>
      </c>
      <c r="AO53" s="132"/>
      <c r="AP53" s="132"/>
      <c r="AQ53" s="374"/>
      <c r="AR53" s="374"/>
      <c r="AS53" s="374"/>
      <c r="AT53" s="374"/>
      <c r="AU53" s="374"/>
      <c r="AV53" s="374"/>
      <c r="AW53" s="374"/>
      <c r="AX53" s="374"/>
      <c r="AY53" s="552"/>
      <c r="AZ53" s="552"/>
      <c r="BA53" s="552"/>
      <c r="BB53" s="552"/>
      <c r="BC53" s="552"/>
      <c r="BD53" s="552"/>
      <c r="BE53" s="552"/>
      <c r="BF53" s="552"/>
      <c r="BG53" s="135"/>
      <c r="BJ53" s="135"/>
      <c r="BK53" s="135"/>
      <c r="BL53" s="135"/>
      <c r="BM53" s="395"/>
      <c r="BN53" s="395"/>
      <c r="BO53" s="395"/>
      <c r="BP53" s="395"/>
      <c r="BQ53" s="395"/>
      <c r="BR53" s="395"/>
      <c r="BS53" s="395"/>
      <c r="BT53" s="395"/>
      <c r="BU53" s="395"/>
    </row>
    <row r="54" spans="1:73" s="553" customFormat="1" ht="31.95" customHeight="1">
      <c r="A54" s="398" t="s">
        <v>1086</v>
      </c>
      <c r="B54" s="541" t="s">
        <v>1087</v>
      </c>
      <c r="C54" s="549">
        <f t="shared" si="18"/>
        <v>41</v>
      </c>
      <c r="D54" s="549">
        <v>20052</v>
      </c>
      <c r="E54" s="550" t="s">
        <v>1349</v>
      </c>
      <c r="F54" s="132">
        <v>2270000</v>
      </c>
      <c r="G54" s="132">
        <v>1600000</v>
      </c>
      <c r="H54" s="132">
        <f t="shared" si="20"/>
        <v>670000</v>
      </c>
      <c r="I54" s="132"/>
      <c r="J54" s="132"/>
      <c r="K54" s="132"/>
      <c r="L54" s="132"/>
      <c r="M54" s="132"/>
      <c r="N54" s="132"/>
      <c r="O54" s="132">
        <v>2270000</v>
      </c>
      <c r="P54" s="132"/>
      <c r="Q54" s="132">
        <v>0</v>
      </c>
      <c r="R54" s="132">
        <f t="shared" si="19"/>
        <v>2270000</v>
      </c>
      <c r="S54" s="132">
        <v>1600000</v>
      </c>
      <c r="T54" s="132">
        <v>670000</v>
      </c>
      <c r="U54" s="132"/>
      <c r="V54" s="132">
        <v>670000</v>
      </c>
      <c r="W54" s="132"/>
      <c r="X54" s="551" t="s">
        <v>1127</v>
      </c>
      <c r="Y54" s="132"/>
      <c r="Z54" s="132"/>
      <c r="AA54" s="132"/>
      <c r="AB54" s="132"/>
      <c r="AC54" s="132"/>
      <c r="AD54" s="560">
        <v>670000</v>
      </c>
      <c r="AE54" s="132"/>
      <c r="AF54" s="132"/>
      <c r="AG54" s="132"/>
      <c r="AH54" s="132"/>
      <c r="AI54" s="132">
        <v>670000</v>
      </c>
      <c r="AJ54" s="132">
        <v>0</v>
      </c>
      <c r="AK54" s="132">
        <v>0</v>
      </c>
      <c r="AL54" s="132">
        <v>670000</v>
      </c>
      <c r="AM54" s="132"/>
      <c r="AN54" s="132">
        <f t="shared" si="17"/>
        <v>0</v>
      </c>
      <c r="AO54" s="132"/>
      <c r="AP54" s="132"/>
      <c r="AQ54" s="374"/>
      <c r="AR54" s="374"/>
      <c r="AS54" s="374"/>
      <c r="AT54" s="374"/>
      <c r="AU54" s="374"/>
      <c r="AV54" s="374"/>
      <c r="AW54" s="374"/>
      <c r="AX54" s="374"/>
      <c r="AY54" s="552"/>
      <c r="AZ54" s="552"/>
      <c r="BA54" s="552"/>
      <c r="BB54" s="552"/>
      <c r="BC54" s="552"/>
      <c r="BD54" s="552"/>
      <c r="BE54" s="552"/>
      <c r="BF54" s="552"/>
      <c r="BG54" s="135"/>
      <c r="BJ54" s="135"/>
      <c r="BK54" s="135"/>
      <c r="BL54" s="135"/>
      <c r="BM54" s="395"/>
      <c r="BN54" s="395"/>
      <c r="BO54" s="395"/>
      <c r="BP54" s="395"/>
      <c r="BQ54" s="395"/>
      <c r="BR54" s="395"/>
      <c r="BS54" s="395"/>
      <c r="BT54" s="395"/>
      <c r="BU54" s="395"/>
    </row>
    <row r="55" spans="1:73" s="553" customFormat="1" ht="31.95" customHeight="1">
      <c r="A55" s="398" t="s">
        <v>1086</v>
      </c>
      <c r="B55" s="541" t="s">
        <v>1087</v>
      </c>
      <c r="C55" s="549">
        <f t="shared" si="18"/>
        <v>42</v>
      </c>
      <c r="D55" s="549">
        <v>1848</v>
      </c>
      <c r="E55" s="550" t="s">
        <v>1128</v>
      </c>
      <c r="F55" s="132">
        <v>1600000</v>
      </c>
      <c r="G55" s="132">
        <v>1600000</v>
      </c>
      <c r="H55" s="132">
        <f t="shared" si="20"/>
        <v>0</v>
      </c>
      <c r="I55" s="132">
        <v>1300000</v>
      </c>
      <c r="J55" s="132">
        <v>1118840</v>
      </c>
      <c r="K55" s="132"/>
      <c r="L55" s="132"/>
      <c r="M55" s="132"/>
      <c r="N55" s="132">
        <v>1118840</v>
      </c>
      <c r="O55" s="132">
        <v>481160</v>
      </c>
      <c r="P55" s="132"/>
      <c r="Q55" s="132">
        <v>181160</v>
      </c>
      <c r="R55" s="132">
        <f t="shared" si="19"/>
        <v>300000</v>
      </c>
      <c r="S55" s="132">
        <v>300000</v>
      </c>
      <c r="T55" s="132">
        <v>0</v>
      </c>
      <c r="U55" s="132"/>
      <c r="V55" s="132">
        <v>-49782</v>
      </c>
      <c r="W55" s="132">
        <v>49782</v>
      </c>
      <c r="X55" s="551" t="s">
        <v>1129</v>
      </c>
      <c r="Y55" s="132"/>
      <c r="Z55" s="132"/>
      <c r="AA55" s="132"/>
      <c r="AB55" s="132"/>
      <c r="AC55" s="557"/>
      <c r="AD55" s="132"/>
      <c r="AE55" s="132"/>
      <c r="AF55" s="132"/>
      <c r="AG55" s="132"/>
      <c r="AH55" s="132"/>
      <c r="AI55" s="132">
        <v>0</v>
      </c>
      <c r="AJ55" s="132">
        <v>0</v>
      </c>
      <c r="AK55" s="132">
        <v>0</v>
      </c>
      <c r="AL55" s="132">
        <v>-49782</v>
      </c>
      <c r="AM55" s="132">
        <v>49782</v>
      </c>
      <c r="AN55" s="132">
        <f t="shared" si="17"/>
        <v>0</v>
      </c>
      <c r="AO55" s="132"/>
      <c r="AP55" s="132"/>
      <c r="AQ55" s="374"/>
      <c r="AR55" s="374"/>
      <c r="AS55" s="374"/>
      <c r="AT55" s="374"/>
      <c r="AU55" s="374"/>
      <c r="AV55" s="374"/>
      <c r="AW55" s="374"/>
      <c r="AX55" s="374"/>
      <c r="AY55" s="552"/>
      <c r="AZ55" s="552"/>
      <c r="BA55" s="552"/>
      <c r="BB55" s="552"/>
      <c r="BC55" s="552"/>
      <c r="BD55" s="552"/>
      <c r="BE55" s="552"/>
      <c r="BF55" s="552"/>
      <c r="BG55" s="135"/>
      <c r="BJ55" s="135"/>
      <c r="BK55" s="135"/>
      <c r="BL55" s="135"/>
      <c r="BM55" s="395"/>
      <c r="BN55" s="395"/>
      <c r="BO55" s="395"/>
      <c r="BP55" s="395"/>
      <c r="BQ55" s="395"/>
      <c r="BR55" s="395"/>
      <c r="BS55" s="395"/>
      <c r="BT55" s="395"/>
      <c r="BU55" s="395"/>
    </row>
    <row r="56" spans="1:73" s="553" customFormat="1" ht="31.95" customHeight="1">
      <c r="A56" s="398" t="s">
        <v>1086</v>
      </c>
      <c r="B56" s="541" t="s">
        <v>1087</v>
      </c>
      <c r="C56" s="549">
        <f t="shared" si="18"/>
        <v>43</v>
      </c>
      <c r="D56" s="549">
        <v>20053</v>
      </c>
      <c r="E56" s="550" t="s">
        <v>885</v>
      </c>
      <c r="F56" s="132">
        <v>600000</v>
      </c>
      <c r="G56" s="132"/>
      <c r="H56" s="132">
        <f t="shared" si="20"/>
        <v>600000</v>
      </c>
      <c r="I56" s="132"/>
      <c r="J56" s="132"/>
      <c r="K56" s="132"/>
      <c r="L56" s="132"/>
      <c r="M56" s="132"/>
      <c r="N56" s="132"/>
      <c r="O56" s="132">
        <v>600000</v>
      </c>
      <c r="P56" s="132"/>
      <c r="Q56" s="132">
        <v>0</v>
      </c>
      <c r="R56" s="132">
        <f t="shared" si="19"/>
        <v>600000</v>
      </c>
      <c r="S56" s="132"/>
      <c r="T56" s="132">
        <v>600000</v>
      </c>
      <c r="U56" s="132"/>
      <c r="V56" s="132">
        <v>600000</v>
      </c>
      <c r="W56" s="132"/>
      <c r="X56" s="551" t="s">
        <v>1130</v>
      </c>
      <c r="Y56" s="132"/>
      <c r="Z56" s="132"/>
      <c r="AA56" s="132"/>
      <c r="AB56" s="132"/>
      <c r="AC56" s="132">
        <v>600000</v>
      </c>
      <c r="AD56" s="132"/>
      <c r="AE56" s="132"/>
      <c r="AF56" s="132"/>
      <c r="AG56" s="132"/>
      <c r="AH56" s="132"/>
      <c r="AI56" s="132">
        <v>600000</v>
      </c>
      <c r="AJ56" s="132">
        <v>0</v>
      </c>
      <c r="AK56" s="132">
        <v>0</v>
      </c>
      <c r="AL56" s="132">
        <v>600000</v>
      </c>
      <c r="AM56" s="132"/>
      <c r="AN56" s="132">
        <f t="shared" si="17"/>
        <v>0</v>
      </c>
      <c r="AO56" s="132"/>
      <c r="AP56" s="132"/>
      <c r="AQ56" s="374"/>
      <c r="AR56" s="374"/>
      <c r="AS56" s="374"/>
      <c r="AT56" s="374"/>
      <c r="AU56" s="374"/>
      <c r="AV56" s="374"/>
      <c r="AW56" s="374"/>
      <c r="AX56" s="374"/>
      <c r="AY56" s="552"/>
      <c r="AZ56" s="552"/>
      <c r="BA56" s="552"/>
      <c r="BB56" s="552"/>
      <c r="BC56" s="552"/>
      <c r="BD56" s="552"/>
      <c r="BE56" s="552"/>
      <c r="BF56" s="552"/>
      <c r="BG56" s="135"/>
      <c r="BJ56" s="135"/>
      <c r="BK56" s="135"/>
      <c r="BL56" s="135"/>
      <c r="BM56" s="395"/>
      <c r="BN56" s="395"/>
      <c r="BO56" s="395"/>
      <c r="BP56" s="395"/>
      <c r="BQ56" s="395"/>
      <c r="BR56" s="395"/>
      <c r="BS56" s="395"/>
      <c r="BT56" s="395"/>
      <c r="BU56" s="395"/>
    </row>
    <row r="57" spans="1:73" s="553" customFormat="1" ht="31.95" customHeight="1">
      <c r="A57" s="398" t="s">
        <v>1070</v>
      </c>
      <c r="B57" s="541" t="s">
        <v>1071</v>
      </c>
      <c r="C57" s="549">
        <f t="shared" si="18"/>
        <v>44</v>
      </c>
      <c r="D57" s="549">
        <v>2216</v>
      </c>
      <c r="E57" s="550" t="s">
        <v>515</v>
      </c>
      <c r="F57" s="132">
        <v>4400000</v>
      </c>
      <c r="G57" s="132">
        <v>2600000</v>
      </c>
      <c r="H57" s="132">
        <f t="shared" si="20"/>
        <v>1800000</v>
      </c>
      <c r="I57" s="132">
        <v>300000</v>
      </c>
      <c r="J57" s="132">
        <v>7139</v>
      </c>
      <c r="K57" s="132"/>
      <c r="L57" s="132"/>
      <c r="M57" s="132"/>
      <c r="N57" s="132">
        <f>J57+M57</f>
        <v>7139</v>
      </c>
      <c r="O57" s="132">
        <v>4392861</v>
      </c>
      <c r="P57" s="132">
        <f>F57-N57-O57</f>
        <v>0</v>
      </c>
      <c r="Q57" s="132">
        <f>I57-N57</f>
        <v>292861</v>
      </c>
      <c r="R57" s="132">
        <f t="shared" si="19"/>
        <v>4100000</v>
      </c>
      <c r="S57" s="132">
        <v>300000</v>
      </c>
      <c r="T57" s="132">
        <v>3800000</v>
      </c>
      <c r="U57" s="132">
        <v>3200000</v>
      </c>
      <c r="V57" s="132"/>
      <c r="W57" s="132">
        <v>600000</v>
      </c>
      <c r="X57" s="551" t="s">
        <v>1131</v>
      </c>
      <c r="Y57" s="132"/>
      <c r="Z57" s="132"/>
      <c r="AA57" s="132"/>
      <c r="AB57" s="132"/>
      <c r="AC57" s="132"/>
      <c r="AD57" s="132">
        <v>3800000</v>
      </c>
      <c r="AE57" s="132"/>
      <c r="AF57" s="132"/>
      <c r="AG57" s="132"/>
      <c r="AH57" s="132"/>
      <c r="AI57" s="132">
        <v>3800000</v>
      </c>
      <c r="AJ57" s="132">
        <v>0</v>
      </c>
      <c r="AK57" s="132">
        <v>3200000</v>
      </c>
      <c r="AL57" s="132"/>
      <c r="AM57" s="132">
        <v>600000</v>
      </c>
      <c r="AN57" s="132">
        <f t="shared" si="17"/>
        <v>0</v>
      </c>
      <c r="AO57" s="132"/>
      <c r="AP57" s="132"/>
      <c r="AQ57" s="374"/>
      <c r="AR57" s="374"/>
      <c r="AS57" s="374"/>
      <c r="AT57" s="374"/>
      <c r="AU57" s="374"/>
      <c r="AV57" s="374"/>
      <c r="AW57" s="374"/>
      <c r="AX57" s="374"/>
      <c r="AY57" s="552"/>
      <c r="AZ57" s="552"/>
      <c r="BA57" s="552"/>
      <c r="BB57" s="552"/>
      <c r="BC57" s="552"/>
      <c r="BD57" s="552"/>
      <c r="BE57" s="552"/>
      <c r="BF57" s="552"/>
      <c r="BG57" s="135"/>
      <c r="BJ57" s="135"/>
      <c r="BK57" s="135"/>
      <c r="BL57" s="135"/>
      <c r="BM57" s="395"/>
      <c r="BN57" s="395"/>
      <c r="BO57" s="395"/>
      <c r="BP57" s="395"/>
      <c r="BQ57" s="395"/>
      <c r="BR57" s="395"/>
      <c r="BS57" s="395"/>
      <c r="BT57" s="395"/>
      <c r="BU57" s="395"/>
    </row>
    <row r="58" spans="1:73" s="553" customFormat="1" ht="31.95" customHeight="1">
      <c r="A58" s="398" t="s">
        <v>1070</v>
      </c>
      <c r="B58" s="541" t="s">
        <v>1071</v>
      </c>
      <c r="C58" s="549">
        <f t="shared" si="18"/>
        <v>45</v>
      </c>
      <c r="D58" s="549">
        <v>20030</v>
      </c>
      <c r="E58" s="550" t="s">
        <v>726</v>
      </c>
      <c r="F58" s="132">
        <v>17850000</v>
      </c>
      <c r="G58" s="132">
        <v>17000000</v>
      </c>
      <c r="H58" s="132">
        <f t="shared" si="20"/>
        <v>850000</v>
      </c>
      <c r="I58" s="132"/>
      <c r="J58" s="132"/>
      <c r="K58" s="132"/>
      <c r="L58" s="132"/>
      <c r="M58" s="132"/>
      <c r="N58" s="132">
        <f t="shared" ref="N58:N64" si="21">J58+M58</f>
        <v>0</v>
      </c>
      <c r="O58" s="132">
        <v>17850000</v>
      </c>
      <c r="P58" s="132">
        <f t="shared" ref="P58:P67" si="22">F58-N58-O58</f>
        <v>0</v>
      </c>
      <c r="Q58" s="132">
        <f t="shared" ref="Q58:Q69" si="23">I58-N58</f>
        <v>0</v>
      </c>
      <c r="R58" s="132">
        <f t="shared" si="19"/>
        <v>17850000</v>
      </c>
      <c r="S58" s="132">
        <v>17000000</v>
      </c>
      <c r="T58" s="132">
        <v>850000</v>
      </c>
      <c r="U58" s="132">
        <v>0</v>
      </c>
      <c r="V58" s="132">
        <v>850000</v>
      </c>
      <c r="W58" s="132"/>
      <c r="X58" s="551" t="s">
        <v>1132</v>
      </c>
      <c r="Y58" s="132"/>
      <c r="Z58" s="132"/>
      <c r="AA58" s="132"/>
      <c r="AB58" s="132"/>
      <c r="AC58" s="132"/>
      <c r="AD58" s="132"/>
      <c r="AE58" s="132"/>
      <c r="AF58" s="132">
        <v>850000</v>
      </c>
      <c r="AG58" s="132"/>
      <c r="AH58" s="132"/>
      <c r="AI58" s="132">
        <v>850000</v>
      </c>
      <c r="AJ58" s="560">
        <v>0</v>
      </c>
      <c r="AK58" s="132">
        <v>0</v>
      </c>
      <c r="AL58" s="132">
        <v>850000</v>
      </c>
      <c r="AM58" s="132"/>
      <c r="AN58" s="132">
        <f t="shared" si="17"/>
        <v>0</v>
      </c>
      <c r="AO58" s="132"/>
      <c r="AP58" s="132"/>
      <c r="AQ58" s="374"/>
      <c r="AR58" s="374"/>
      <c r="AS58" s="374"/>
      <c r="AT58" s="374"/>
      <c r="AU58" s="374"/>
      <c r="AV58" s="374"/>
      <c r="AW58" s="374"/>
      <c r="AX58" s="374"/>
      <c r="AY58" s="552"/>
      <c r="AZ58" s="552"/>
      <c r="BA58" s="552"/>
      <c r="BB58" s="552"/>
      <c r="BC58" s="552"/>
      <c r="BD58" s="552"/>
      <c r="BE58" s="552"/>
      <c r="BF58" s="552"/>
      <c r="BG58" s="135"/>
      <c r="BJ58" s="135"/>
      <c r="BK58" s="135"/>
      <c r="BL58" s="135"/>
      <c r="BM58" s="395"/>
      <c r="BN58" s="395"/>
      <c r="BO58" s="395"/>
      <c r="BP58" s="395"/>
      <c r="BQ58" s="395"/>
      <c r="BR58" s="395"/>
      <c r="BS58" s="395"/>
      <c r="BT58" s="395"/>
      <c r="BU58" s="395"/>
    </row>
    <row r="59" spans="1:73" s="553" customFormat="1" ht="31.95" customHeight="1">
      <c r="A59" s="398" t="s">
        <v>1070</v>
      </c>
      <c r="B59" s="541" t="s">
        <v>1071</v>
      </c>
      <c r="C59" s="549">
        <f t="shared" si="18"/>
        <v>46</v>
      </c>
      <c r="D59" s="549">
        <v>20054</v>
      </c>
      <c r="E59" s="550" t="s">
        <v>1133</v>
      </c>
      <c r="F59" s="132">
        <v>3900000</v>
      </c>
      <c r="G59" s="132"/>
      <c r="H59" s="132">
        <f t="shared" si="20"/>
        <v>3900000</v>
      </c>
      <c r="I59" s="132"/>
      <c r="J59" s="132"/>
      <c r="K59" s="132"/>
      <c r="L59" s="132"/>
      <c r="M59" s="132"/>
      <c r="N59" s="132">
        <f t="shared" si="21"/>
        <v>0</v>
      </c>
      <c r="O59" s="132">
        <v>3900000</v>
      </c>
      <c r="P59" s="132">
        <f t="shared" si="22"/>
        <v>0</v>
      </c>
      <c r="Q59" s="132">
        <f t="shared" si="23"/>
        <v>0</v>
      </c>
      <c r="R59" s="132">
        <f t="shared" si="19"/>
        <v>3900000</v>
      </c>
      <c r="S59" s="132"/>
      <c r="T59" s="132">
        <v>3900000</v>
      </c>
      <c r="U59" s="132">
        <v>3000000</v>
      </c>
      <c r="V59" s="132">
        <v>900000</v>
      </c>
      <c r="W59" s="132"/>
      <c r="X59" s="551" t="s">
        <v>1134</v>
      </c>
      <c r="Y59" s="132"/>
      <c r="Z59" s="132"/>
      <c r="AA59" s="132"/>
      <c r="AB59" s="132"/>
      <c r="AC59" s="132"/>
      <c r="AD59" s="132"/>
      <c r="AE59" s="132"/>
      <c r="AF59" s="132"/>
      <c r="AG59" s="561">
        <v>3900000</v>
      </c>
      <c r="AH59" s="561"/>
      <c r="AI59" s="132">
        <v>3900000</v>
      </c>
      <c r="AJ59" s="132">
        <v>0</v>
      </c>
      <c r="AK59" s="132">
        <v>3000000</v>
      </c>
      <c r="AL59" s="132">
        <v>900000</v>
      </c>
      <c r="AM59" s="132"/>
      <c r="AN59" s="132">
        <f t="shared" si="17"/>
        <v>0</v>
      </c>
      <c r="AO59" s="132"/>
      <c r="AP59" s="132"/>
      <c r="AQ59" s="374"/>
      <c r="AR59" s="374"/>
      <c r="AS59" s="374"/>
      <c r="AT59" s="374"/>
      <c r="AU59" s="374"/>
      <c r="AV59" s="374"/>
      <c r="AW59" s="374"/>
      <c r="AX59" s="374"/>
      <c r="AY59" s="552"/>
      <c r="AZ59" s="552"/>
      <c r="BA59" s="552"/>
      <c r="BB59" s="552"/>
      <c r="BC59" s="552"/>
      <c r="BD59" s="552"/>
      <c r="BE59" s="552"/>
      <c r="BF59" s="552"/>
      <c r="BG59" s="135"/>
      <c r="BJ59" s="135"/>
      <c r="BK59" s="135"/>
      <c r="BL59" s="135"/>
      <c r="BM59" s="395"/>
      <c r="BN59" s="395"/>
      <c r="BO59" s="395"/>
      <c r="BP59" s="395"/>
      <c r="BQ59" s="395"/>
      <c r="BR59" s="395"/>
      <c r="BS59" s="395"/>
      <c r="BT59" s="395"/>
      <c r="BU59" s="395"/>
    </row>
    <row r="60" spans="1:73" s="553" customFormat="1" ht="31.95" customHeight="1">
      <c r="A60" s="398" t="s">
        <v>1070</v>
      </c>
      <c r="B60" s="541" t="s">
        <v>1071</v>
      </c>
      <c r="C60" s="549">
        <f t="shared" si="18"/>
        <v>47</v>
      </c>
      <c r="D60" s="549">
        <v>1254</v>
      </c>
      <c r="E60" s="550" t="s">
        <v>300</v>
      </c>
      <c r="F60" s="132">
        <v>49000000</v>
      </c>
      <c r="G60" s="132">
        <v>49000000</v>
      </c>
      <c r="H60" s="132">
        <f t="shared" si="20"/>
        <v>0</v>
      </c>
      <c r="I60" s="132">
        <v>43072866</v>
      </c>
      <c r="J60" s="132">
        <v>42093887</v>
      </c>
      <c r="K60" s="132"/>
      <c r="L60" s="132"/>
      <c r="M60" s="132"/>
      <c r="N60" s="132">
        <f t="shared" si="21"/>
        <v>42093887</v>
      </c>
      <c r="O60" s="132">
        <f>4300000+978979</f>
        <v>5278979</v>
      </c>
      <c r="P60" s="132">
        <f t="shared" si="22"/>
        <v>1627134</v>
      </c>
      <c r="Q60" s="132">
        <f t="shared" si="23"/>
        <v>978979</v>
      </c>
      <c r="R60" s="132">
        <f t="shared" si="19"/>
        <v>4300000</v>
      </c>
      <c r="S60" s="132">
        <v>4000000</v>
      </c>
      <c r="T60" s="132">
        <v>300000</v>
      </c>
      <c r="U60" s="132">
        <v>0</v>
      </c>
      <c r="V60" s="132">
        <v>300000</v>
      </c>
      <c r="W60" s="132"/>
      <c r="X60" s="551" t="s">
        <v>1135</v>
      </c>
      <c r="Y60" s="132"/>
      <c r="Z60" s="132"/>
      <c r="AA60" s="132"/>
      <c r="AB60" s="132"/>
      <c r="AC60" s="132"/>
      <c r="AD60" s="132"/>
      <c r="AE60" s="132"/>
      <c r="AF60" s="132">
        <v>300000</v>
      </c>
      <c r="AG60" s="132"/>
      <c r="AH60" s="132"/>
      <c r="AI60" s="132">
        <v>300000</v>
      </c>
      <c r="AJ60" s="560">
        <v>0</v>
      </c>
      <c r="AK60" s="132">
        <v>0</v>
      </c>
      <c r="AL60" s="132">
        <v>300000</v>
      </c>
      <c r="AM60" s="132"/>
      <c r="AN60" s="132">
        <f t="shared" si="17"/>
        <v>0</v>
      </c>
      <c r="AO60" s="132"/>
      <c r="AP60" s="132"/>
      <c r="AQ60" s="374"/>
      <c r="AR60" s="374"/>
      <c r="AS60" s="374"/>
      <c r="AT60" s="374"/>
      <c r="AU60" s="374"/>
      <c r="AV60" s="374"/>
      <c r="AW60" s="374"/>
      <c r="AX60" s="374"/>
      <c r="AY60" s="552"/>
      <c r="AZ60" s="552"/>
      <c r="BA60" s="552"/>
      <c r="BB60" s="552"/>
      <c r="BC60" s="552"/>
      <c r="BD60" s="552"/>
      <c r="BE60" s="552"/>
      <c r="BF60" s="552"/>
      <c r="BG60" s="135"/>
      <c r="BJ60" s="135"/>
      <c r="BK60" s="135"/>
      <c r="BL60" s="135"/>
      <c r="BM60" s="395"/>
      <c r="BN60" s="395"/>
      <c r="BO60" s="395"/>
      <c r="BP60" s="395"/>
      <c r="BQ60" s="395"/>
      <c r="BR60" s="395"/>
      <c r="BS60" s="395"/>
      <c r="BT60" s="395"/>
      <c r="BU60" s="395"/>
    </row>
    <row r="61" spans="1:73" s="553" customFormat="1" ht="31.95" customHeight="1">
      <c r="A61" s="398" t="s">
        <v>1070</v>
      </c>
      <c r="B61" s="541" t="s">
        <v>1071</v>
      </c>
      <c r="C61" s="549">
        <f t="shared" si="18"/>
        <v>48</v>
      </c>
      <c r="D61" s="549">
        <v>1504</v>
      </c>
      <c r="E61" s="550" t="s">
        <v>70</v>
      </c>
      <c r="F61" s="132">
        <v>2500000</v>
      </c>
      <c r="G61" s="132">
        <v>2500000</v>
      </c>
      <c r="H61" s="132">
        <f t="shared" si="20"/>
        <v>0</v>
      </c>
      <c r="I61" s="132">
        <v>1500000</v>
      </c>
      <c r="J61" s="132">
        <v>1461344.32</v>
      </c>
      <c r="K61" s="132"/>
      <c r="L61" s="132"/>
      <c r="M61" s="132"/>
      <c r="N61" s="132">
        <f t="shared" si="21"/>
        <v>1461344.32</v>
      </c>
      <c r="O61" s="132">
        <f>500000-400000+38656</f>
        <v>138656</v>
      </c>
      <c r="P61" s="132">
        <f t="shared" si="22"/>
        <v>899999.67999999993</v>
      </c>
      <c r="Q61" s="132">
        <f t="shared" si="23"/>
        <v>38655.679999999935</v>
      </c>
      <c r="R61" s="132">
        <f t="shared" si="19"/>
        <v>100000.32000000007</v>
      </c>
      <c r="S61" s="132">
        <v>500000</v>
      </c>
      <c r="T61" s="132">
        <v>-399999.67999999993</v>
      </c>
      <c r="U61" s="132">
        <v>-399999.67999999993</v>
      </c>
      <c r="V61" s="132"/>
      <c r="W61" s="132"/>
      <c r="X61" s="551" t="s">
        <v>1097</v>
      </c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>
        <v>0</v>
      </c>
      <c r="AJ61" s="132">
        <v>-399999.67999999993</v>
      </c>
      <c r="AK61" s="132">
        <v>0</v>
      </c>
      <c r="AL61" s="132"/>
      <c r="AM61" s="132"/>
      <c r="AN61" s="132">
        <f t="shared" si="17"/>
        <v>0</v>
      </c>
      <c r="AO61" s="132"/>
      <c r="AP61" s="132"/>
      <c r="AQ61" s="374"/>
      <c r="AR61" s="374"/>
      <c r="AS61" s="374"/>
      <c r="AT61" s="374"/>
      <c r="AU61" s="374"/>
      <c r="AV61" s="374"/>
      <c r="AW61" s="374"/>
      <c r="AX61" s="374"/>
      <c r="AY61" s="552"/>
      <c r="AZ61" s="552"/>
      <c r="BA61" s="552"/>
      <c r="BB61" s="552"/>
      <c r="BC61" s="552"/>
      <c r="BD61" s="552"/>
      <c r="BE61" s="552"/>
      <c r="BF61" s="552"/>
      <c r="BG61" s="135"/>
      <c r="BJ61" s="135"/>
      <c r="BK61" s="135"/>
      <c r="BL61" s="135"/>
      <c r="BM61" s="395"/>
      <c r="BN61" s="395"/>
      <c r="BO61" s="395"/>
      <c r="BP61" s="395"/>
      <c r="BQ61" s="395"/>
      <c r="BR61" s="395"/>
      <c r="BS61" s="395"/>
      <c r="BT61" s="395"/>
      <c r="BU61" s="395"/>
    </row>
    <row r="62" spans="1:73" s="553" customFormat="1" ht="31.95" customHeight="1">
      <c r="A62" s="398" t="s">
        <v>1070</v>
      </c>
      <c r="B62" s="541" t="s">
        <v>1071</v>
      </c>
      <c r="C62" s="549">
        <f t="shared" si="18"/>
        <v>49</v>
      </c>
      <c r="D62" s="549">
        <v>1621</v>
      </c>
      <c r="E62" s="550" t="s">
        <v>50</v>
      </c>
      <c r="F62" s="132">
        <v>6030000</v>
      </c>
      <c r="G62" s="132">
        <v>6030000</v>
      </c>
      <c r="H62" s="132">
        <f t="shared" si="20"/>
        <v>0</v>
      </c>
      <c r="I62" s="132">
        <v>2800000</v>
      </c>
      <c r="J62" s="132">
        <v>2174410</v>
      </c>
      <c r="K62" s="132"/>
      <c r="L62" s="132"/>
      <c r="M62" s="132"/>
      <c r="N62" s="132">
        <f t="shared" si="21"/>
        <v>2174410</v>
      </c>
      <c r="O62" s="132">
        <f>1230000-230000-100000+625590</f>
        <v>1525590</v>
      </c>
      <c r="P62" s="132">
        <f t="shared" si="22"/>
        <v>2330000</v>
      </c>
      <c r="Q62" s="132">
        <f t="shared" si="23"/>
        <v>625590</v>
      </c>
      <c r="R62" s="132">
        <f t="shared" si="19"/>
        <v>900000</v>
      </c>
      <c r="S62" s="132">
        <v>1230000</v>
      </c>
      <c r="T62" s="132">
        <v>-330000</v>
      </c>
      <c r="U62" s="132">
        <v>0</v>
      </c>
      <c r="V62" s="132">
        <v>-330000</v>
      </c>
      <c r="W62" s="132"/>
      <c r="X62" s="551" t="s">
        <v>1097</v>
      </c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>
        <v>0</v>
      </c>
      <c r="AJ62" s="132">
        <v>-330000</v>
      </c>
      <c r="AK62" s="132">
        <v>0</v>
      </c>
      <c r="AL62" s="132"/>
      <c r="AM62" s="132"/>
      <c r="AN62" s="132">
        <f t="shared" si="17"/>
        <v>0</v>
      </c>
      <c r="AO62" s="132"/>
      <c r="AP62" s="132"/>
      <c r="AQ62" s="374"/>
      <c r="AR62" s="374"/>
      <c r="AS62" s="374"/>
      <c r="AT62" s="374"/>
      <c r="AU62" s="374"/>
      <c r="AV62" s="374"/>
      <c r="AW62" s="374"/>
      <c r="AX62" s="374"/>
      <c r="AY62" s="552"/>
      <c r="AZ62" s="552"/>
      <c r="BA62" s="552"/>
      <c r="BB62" s="552"/>
      <c r="BC62" s="552"/>
      <c r="BD62" s="552"/>
      <c r="BE62" s="552"/>
      <c r="BF62" s="552"/>
      <c r="BG62" s="135"/>
      <c r="BJ62" s="135"/>
      <c r="BK62" s="135"/>
      <c r="BL62" s="135"/>
      <c r="BM62" s="395"/>
      <c r="BN62" s="395"/>
      <c r="BO62" s="395"/>
      <c r="BP62" s="395"/>
      <c r="BQ62" s="395"/>
      <c r="BR62" s="395"/>
      <c r="BS62" s="395"/>
      <c r="BT62" s="395"/>
      <c r="BU62" s="395"/>
    </row>
    <row r="63" spans="1:73" s="553" customFormat="1" ht="31.95" customHeight="1">
      <c r="A63" s="398" t="s">
        <v>1070</v>
      </c>
      <c r="B63" s="541" t="s">
        <v>1071</v>
      </c>
      <c r="C63" s="549">
        <f t="shared" si="18"/>
        <v>50</v>
      </c>
      <c r="D63" s="549">
        <v>1967</v>
      </c>
      <c r="E63" s="3" t="s">
        <v>123</v>
      </c>
      <c r="F63" s="132">
        <v>12929000</v>
      </c>
      <c r="G63" s="132">
        <v>12929000</v>
      </c>
      <c r="H63" s="132">
        <f t="shared" si="20"/>
        <v>0</v>
      </c>
      <c r="I63" s="132">
        <v>12629000</v>
      </c>
      <c r="J63" s="132">
        <v>2923218</v>
      </c>
      <c r="K63" s="132"/>
      <c r="L63" s="132"/>
      <c r="M63" s="132"/>
      <c r="N63" s="132">
        <f t="shared" si="21"/>
        <v>2923218</v>
      </c>
      <c r="O63" s="132">
        <f>9705782-100000</f>
        <v>9605782</v>
      </c>
      <c r="P63" s="132">
        <f t="shared" si="22"/>
        <v>400000</v>
      </c>
      <c r="Q63" s="132">
        <f t="shared" si="23"/>
        <v>9705782</v>
      </c>
      <c r="R63" s="132">
        <f t="shared" si="19"/>
        <v>-100000</v>
      </c>
      <c r="S63" s="132">
        <v>300000</v>
      </c>
      <c r="T63" s="132">
        <v>-400000</v>
      </c>
      <c r="U63" s="132">
        <v>0</v>
      </c>
      <c r="V63" s="132">
        <v>-400000</v>
      </c>
      <c r="W63" s="132"/>
      <c r="X63" s="551" t="s">
        <v>1097</v>
      </c>
      <c r="Y63" s="132"/>
      <c r="Z63" s="132"/>
      <c r="AA63" s="132"/>
      <c r="AB63" s="132"/>
      <c r="AC63" s="132"/>
      <c r="AD63" s="132">
        <v>-100000</v>
      </c>
      <c r="AE63" s="132"/>
      <c r="AF63" s="132"/>
      <c r="AG63" s="132"/>
      <c r="AH63" s="132"/>
      <c r="AI63" s="132">
        <v>-100000</v>
      </c>
      <c r="AJ63" s="132">
        <v>-300000</v>
      </c>
      <c r="AK63" s="132">
        <v>0</v>
      </c>
      <c r="AL63" s="132">
        <v>-100000</v>
      </c>
      <c r="AM63" s="132"/>
      <c r="AN63" s="132">
        <f t="shared" si="17"/>
        <v>0</v>
      </c>
      <c r="AO63" s="132"/>
      <c r="AP63" s="132"/>
      <c r="AQ63" s="374"/>
      <c r="AR63" s="374"/>
      <c r="AS63" s="374"/>
      <c r="AT63" s="374"/>
      <c r="AU63" s="374"/>
      <c r="AV63" s="374"/>
      <c r="AW63" s="374"/>
      <c r="AX63" s="374"/>
      <c r="AY63" s="552"/>
      <c r="AZ63" s="552"/>
      <c r="BA63" s="552"/>
      <c r="BB63" s="552"/>
      <c r="BC63" s="552"/>
      <c r="BD63" s="552"/>
      <c r="BE63" s="552"/>
      <c r="BF63" s="552"/>
      <c r="BG63" s="135"/>
      <c r="BJ63" s="135"/>
      <c r="BK63" s="135"/>
      <c r="BL63" s="135"/>
      <c r="BM63" s="395"/>
      <c r="BN63" s="395"/>
      <c r="BO63" s="395"/>
      <c r="BP63" s="395"/>
      <c r="BQ63" s="395"/>
      <c r="BR63" s="395"/>
      <c r="BS63" s="395"/>
      <c r="BT63" s="395"/>
      <c r="BU63" s="395"/>
    </row>
    <row r="64" spans="1:73" s="553" customFormat="1" ht="31.95" customHeight="1">
      <c r="A64" s="398" t="s">
        <v>1070</v>
      </c>
      <c r="B64" s="541" t="s">
        <v>1071</v>
      </c>
      <c r="C64" s="549">
        <f t="shared" si="18"/>
        <v>51</v>
      </c>
      <c r="D64" s="549">
        <v>2167</v>
      </c>
      <c r="E64" s="3" t="s">
        <v>442</v>
      </c>
      <c r="F64" s="132">
        <v>1400000</v>
      </c>
      <c r="G64" s="132">
        <v>1400000</v>
      </c>
      <c r="H64" s="132">
        <f t="shared" si="20"/>
        <v>0</v>
      </c>
      <c r="I64" s="132">
        <v>100000</v>
      </c>
      <c r="J64" s="132"/>
      <c r="K64" s="132"/>
      <c r="L64" s="132"/>
      <c r="M64" s="132"/>
      <c r="N64" s="132">
        <f t="shared" si="21"/>
        <v>0</v>
      </c>
      <c r="O64" s="132">
        <v>100000</v>
      </c>
      <c r="P64" s="132">
        <f t="shared" si="22"/>
        <v>1300000</v>
      </c>
      <c r="Q64" s="132">
        <f t="shared" si="23"/>
        <v>100000</v>
      </c>
      <c r="R64" s="132">
        <f t="shared" si="19"/>
        <v>0</v>
      </c>
      <c r="S64" s="132">
        <v>270000</v>
      </c>
      <c r="T64" s="132">
        <v>-270000</v>
      </c>
      <c r="U64" s="132">
        <v>0</v>
      </c>
      <c r="V64" s="132">
        <v>-270000</v>
      </c>
      <c r="W64" s="132"/>
      <c r="X64" s="551" t="s">
        <v>1097</v>
      </c>
      <c r="Y64" s="132"/>
      <c r="Z64" s="132"/>
      <c r="AA64" s="132"/>
      <c r="AB64" s="132"/>
      <c r="AC64" s="132"/>
      <c r="AD64" s="132">
        <v>-100000</v>
      </c>
      <c r="AE64" s="132"/>
      <c r="AF64" s="132"/>
      <c r="AG64" s="132"/>
      <c r="AH64" s="132"/>
      <c r="AI64" s="132">
        <v>-100000</v>
      </c>
      <c r="AJ64" s="132">
        <v>-170000</v>
      </c>
      <c r="AK64" s="132">
        <v>0</v>
      </c>
      <c r="AL64" s="132">
        <v>-100000</v>
      </c>
      <c r="AM64" s="132"/>
      <c r="AN64" s="132">
        <f t="shared" si="17"/>
        <v>0</v>
      </c>
      <c r="AO64" s="132"/>
      <c r="AP64" s="132"/>
      <c r="AQ64" s="374"/>
      <c r="AR64" s="374"/>
      <c r="AS64" s="374"/>
      <c r="AT64" s="374"/>
      <c r="AU64" s="374"/>
      <c r="AV64" s="374"/>
      <c r="AW64" s="374"/>
      <c r="AX64" s="374"/>
      <c r="AY64" s="552"/>
      <c r="AZ64" s="552"/>
      <c r="BA64" s="552"/>
      <c r="BB64" s="552"/>
      <c r="BC64" s="552"/>
      <c r="BD64" s="552"/>
      <c r="BE64" s="552"/>
      <c r="BF64" s="552"/>
      <c r="BG64" s="135"/>
      <c r="BJ64" s="135"/>
      <c r="BK64" s="135"/>
      <c r="BL64" s="135"/>
      <c r="BM64" s="395"/>
      <c r="BN64" s="395"/>
      <c r="BO64" s="395"/>
      <c r="BP64" s="395"/>
      <c r="BQ64" s="395"/>
      <c r="BR64" s="395"/>
      <c r="BS64" s="395"/>
      <c r="BT64" s="395"/>
      <c r="BU64" s="395"/>
    </row>
    <row r="65" spans="1:74" s="553" customFormat="1" ht="31.95" customHeight="1">
      <c r="A65" s="398" t="s">
        <v>1070</v>
      </c>
      <c r="B65" s="541" t="s">
        <v>1071</v>
      </c>
      <c r="C65" s="549">
        <f t="shared" si="18"/>
        <v>52</v>
      </c>
      <c r="D65" s="549">
        <v>20031</v>
      </c>
      <c r="E65" s="3" t="s">
        <v>728</v>
      </c>
      <c r="F65" s="132">
        <v>200000</v>
      </c>
      <c r="G65" s="132">
        <v>200000</v>
      </c>
      <c r="H65" s="132">
        <f t="shared" si="20"/>
        <v>0</v>
      </c>
      <c r="I65" s="132"/>
      <c r="J65" s="132"/>
      <c r="K65" s="132"/>
      <c r="L65" s="132"/>
      <c r="M65" s="132"/>
      <c r="N65" s="132"/>
      <c r="O65" s="132"/>
      <c r="P65" s="132">
        <f t="shared" si="22"/>
        <v>200000</v>
      </c>
      <c r="Q65" s="132">
        <f t="shared" si="23"/>
        <v>0</v>
      </c>
      <c r="R65" s="132">
        <f t="shared" si="19"/>
        <v>0</v>
      </c>
      <c r="S65" s="132">
        <v>200000</v>
      </c>
      <c r="T65" s="132">
        <v>-200000</v>
      </c>
      <c r="U65" s="132">
        <v>-200000</v>
      </c>
      <c r="V65" s="132"/>
      <c r="W65" s="132"/>
      <c r="X65" s="551" t="s">
        <v>1097</v>
      </c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>
        <v>0</v>
      </c>
      <c r="AJ65" s="132">
        <v>-200000</v>
      </c>
      <c r="AK65" s="132">
        <v>0</v>
      </c>
      <c r="AL65" s="132"/>
      <c r="AM65" s="132"/>
      <c r="AN65" s="132">
        <f t="shared" si="17"/>
        <v>0</v>
      </c>
      <c r="AO65" s="132"/>
      <c r="AP65" s="132"/>
      <c r="AQ65" s="374"/>
      <c r="AR65" s="374"/>
      <c r="AS65" s="374"/>
      <c r="AT65" s="374"/>
      <c r="AU65" s="374"/>
      <c r="AV65" s="374"/>
      <c r="AW65" s="374"/>
      <c r="AX65" s="374"/>
      <c r="AY65" s="552"/>
      <c r="AZ65" s="552"/>
      <c r="BA65" s="552"/>
      <c r="BB65" s="552"/>
      <c r="BC65" s="552"/>
      <c r="BD65" s="552"/>
      <c r="BE65" s="552"/>
      <c r="BF65" s="552"/>
      <c r="BG65" s="135"/>
      <c r="BJ65" s="135"/>
      <c r="BK65" s="135"/>
      <c r="BL65" s="135"/>
      <c r="BM65" s="395"/>
      <c r="BN65" s="395"/>
      <c r="BO65" s="395"/>
      <c r="BP65" s="395"/>
      <c r="BQ65" s="395"/>
      <c r="BR65" s="395"/>
      <c r="BS65" s="395"/>
      <c r="BT65" s="395"/>
      <c r="BU65" s="395"/>
    </row>
    <row r="66" spans="1:74" s="553" customFormat="1" ht="31.95" customHeight="1">
      <c r="A66" s="398" t="s">
        <v>1099</v>
      </c>
      <c r="B66" s="541" t="s">
        <v>1166</v>
      </c>
      <c r="C66" s="549">
        <f t="shared" si="18"/>
        <v>53</v>
      </c>
      <c r="D66" s="549">
        <v>20030</v>
      </c>
      <c r="E66" s="550" t="s">
        <v>726</v>
      </c>
      <c r="F66" s="132">
        <f>17850000+300000</f>
        <v>18150000</v>
      </c>
      <c r="G66" s="132">
        <v>17850000</v>
      </c>
      <c r="H66" s="132">
        <f t="shared" si="20"/>
        <v>300000</v>
      </c>
      <c r="I66" s="132"/>
      <c r="J66" s="132"/>
      <c r="K66" s="132"/>
      <c r="L66" s="132"/>
      <c r="M66" s="132">
        <f>SUM(K66:L66)</f>
        <v>0</v>
      </c>
      <c r="N66" s="132">
        <f>M66+J66</f>
        <v>0</v>
      </c>
      <c r="O66" s="132">
        <f>17850000+300000</f>
        <v>18150000</v>
      </c>
      <c r="P66" s="132">
        <f t="shared" si="22"/>
        <v>0</v>
      </c>
      <c r="Q66" s="132">
        <f t="shared" si="23"/>
        <v>0</v>
      </c>
      <c r="R66" s="132">
        <f t="shared" si="19"/>
        <v>18150000</v>
      </c>
      <c r="S66" s="132">
        <v>17850000</v>
      </c>
      <c r="T66" s="132">
        <v>300000</v>
      </c>
      <c r="U66" s="132">
        <v>0</v>
      </c>
      <c r="V66" s="132">
        <v>8611</v>
      </c>
      <c r="W66" s="132">
        <v>291389</v>
      </c>
      <c r="X66" s="551" t="s">
        <v>1136</v>
      </c>
      <c r="Y66" s="132"/>
      <c r="Z66" s="132"/>
      <c r="AA66" s="132"/>
      <c r="AB66" s="132"/>
      <c r="AC66" s="132"/>
      <c r="AD66" s="132"/>
      <c r="AE66" s="132"/>
      <c r="AF66" s="132"/>
      <c r="AG66" s="132">
        <v>300000</v>
      </c>
      <c r="AH66" s="132"/>
      <c r="AI66" s="132">
        <v>300000</v>
      </c>
      <c r="AJ66" s="132">
        <v>0</v>
      </c>
      <c r="AK66" s="132">
        <v>0</v>
      </c>
      <c r="AL66" s="132">
        <v>8611</v>
      </c>
      <c r="AM66" s="132">
        <v>291389</v>
      </c>
      <c r="AN66" s="132">
        <f t="shared" si="17"/>
        <v>0</v>
      </c>
      <c r="AO66" s="132"/>
      <c r="AP66" s="132"/>
      <c r="AQ66" s="607"/>
      <c r="AR66" s="374"/>
      <c r="AS66" s="374"/>
      <c r="AT66" s="374"/>
      <c r="AU66" s="374"/>
      <c r="AV66" s="374"/>
      <c r="AW66" s="374"/>
      <c r="AX66" s="374"/>
      <c r="AY66" s="374"/>
      <c r="AZ66" s="552"/>
      <c r="BA66" s="552"/>
      <c r="BB66" s="552"/>
      <c r="BC66" s="552"/>
      <c r="BD66" s="552"/>
      <c r="BE66" s="552"/>
      <c r="BF66" s="552"/>
      <c r="BG66" s="552"/>
      <c r="BH66" s="135"/>
      <c r="BK66" s="135"/>
      <c r="BL66" s="135"/>
      <c r="BM66" s="135"/>
      <c r="BN66" s="590"/>
      <c r="BO66" s="395"/>
      <c r="BP66" s="395"/>
      <c r="BQ66" s="395"/>
      <c r="BR66" s="395"/>
      <c r="BS66" s="395"/>
      <c r="BT66" s="395"/>
      <c r="BU66" s="395"/>
      <c r="BV66" s="395"/>
    </row>
    <row r="67" spans="1:74" s="553" customFormat="1" ht="31.95" customHeight="1">
      <c r="A67" s="398" t="s">
        <v>1099</v>
      </c>
      <c r="B67" s="541" t="s">
        <v>1166</v>
      </c>
      <c r="C67" s="549">
        <f t="shared" si="18"/>
        <v>54</v>
      </c>
      <c r="D67" s="549">
        <v>1415</v>
      </c>
      <c r="E67" s="550" t="s">
        <v>1137</v>
      </c>
      <c r="F67" s="132">
        <v>1800000</v>
      </c>
      <c r="G67" s="132">
        <v>1700000</v>
      </c>
      <c r="H67" s="132">
        <f t="shared" si="20"/>
        <v>100000</v>
      </c>
      <c r="I67" s="132">
        <v>1400000</v>
      </c>
      <c r="J67" s="132">
        <v>1355425.62</v>
      </c>
      <c r="K67" s="132"/>
      <c r="L67" s="132"/>
      <c r="M67" s="132">
        <f>SUM(K67:L67)</f>
        <v>0</v>
      </c>
      <c r="N67" s="132">
        <f>M67+J67</f>
        <v>1355425.62</v>
      </c>
      <c r="O67" s="132">
        <f>400000+44574.38</f>
        <v>444574.38</v>
      </c>
      <c r="P67" s="132">
        <f t="shared" si="22"/>
        <v>0</v>
      </c>
      <c r="Q67" s="132">
        <f t="shared" si="23"/>
        <v>44574.379999999888</v>
      </c>
      <c r="R67" s="132">
        <f t="shared" si="19"/>
        <v>400000.00000000012</v>
      </c>
      <c r="S67" s="132">
        <v>300000</v>
      </c>
      <c r="T67" s="132">
        <v>100000.00000000012</v>
      </c>
      <c r="U67" s="132">
        <v>1.1641532182693481E-10</v>
      </c>
      <c r="V67" s="132">
        <v>100000</v>
      </c>
      <c r="W67" s="132"/>
      <c r="X67" s="551" t="s">
        <v>1138</v>
      </c>
      <c r="Y67" s="132"/>
      <c r="Z67" s="132"/>
      <c r="AA67" s="132"/>
      <c r="AB67" s="132"/>
      <c r="AC67" s="132"/>
      <c r="AD67" s="132"/>
      <c r="AE67" s="132"/>
      <c r="AF67" s="132"/>
      <c r="AG67" s="132">
        <v>100000</v>
      </c>
      <c r="AH67" s="132"/>
      <c r="AI67" s="132">
        <v>100000</v>
      </c>
      <c r="AJ67" s="132">
        <v>1.1641532182693481E-10</v>
      </c>
      <c r="AK67" s="132">
        <v>0</v>
      </c>
      <c r="AL67" s="132">
        <v>100000</v>
      </c>
      <c r="AM67" s="410"/>
      <c r="AN67" s="132">
        <f t="shared" si="17"/>
        <v>0</v>
      </c>
      <c r="AO67" s="132"/>
      <c r="AP67" s="410"/>
      <c r="AQ67" s="607"/>
      <c r="AR67" s="374"/>
      <c r="AS67" s="374"/>
      <c r="AT67" s="374"/>
      <c r="AU67" s="374"/>
      <c r="AV67" s="374"/>
      <c r="AW67" s="374"/>
      <c r="AX67" s="374"/>
      <c r="AY67" s="374"/>
      <c r="AZ67" s="552"/>
      <c r="BA67" s="552"/>
      <c r="BB67" s="552"/>
      <c r="BC67" s="552"/>
      <c r="BD67" s="552"/>
      <c r="BE67" s="552"/>
      <c r="BF67" s="552"/>
      <c r="BG67" s="552"/>
      <c r="BH67" s="135"/>
      <c r="BK67" s="135"/>
      <c r="BL67" s="135"/>
      <c r="BM67" s="135"/>
      <c r="BN67" s="395"/>
      <c r="BO67" s="395"/>
      <c r="BP67" s="395"/>
      <c r="BQ67" s="395"/>
      <c r="BR67" s="395"/>
      <c r="BS67" s="395"/>
      <c r="BT67" s="395"/>
      <c r="BU67" s="395"/>
      <c r="BV67" s="395"/>
    </row>
    <row r="68" spans="1:74" s="553" customFormat="1" ht="31.95" customHeight="1">
      <c r="A68" s="398" t="s">
        <v>1099</v>
      </c>
      <c r="B68" s="541" t="s">
        <v>1166</v>
      </c>
      <c r="C68" s="549">
        <f t="shared" si="18"/>
        <v>55</v>
      </c>
      <c r="D68" s="549">
        <v>2063</v>
      </c>
      <c r="E68" s="550" t="s">
        <v>289</v>
      </c>
      <c r="F68" s="132">
        <v>2300000</v>
      </c>
      <c r="G68" s="132">
        <v>2400000</v>
      </c>
      <c r="H68" s="132">
        <f t="shared" si="20"/>
        <v>-100000</v>
      </c>
      <c r="I68" s="132">
        <v>2400000</v>
      </c>
      <c r="J68" s="132">
        <v>477252.82</v>
      </c>
      <c r="K68" s="132"/>
      <c r="L68" s="132"/>
      <c r="M68" s="132">
        <f>SUM(K68:L68)</f>
        <v>0</v>
      </c>
      <c r="N68" s="132">
        <f>M68+J68</f>
        <v>477252.82</v>
      </c>
      <c r="O68" s="132">
        <f>1922747-100000</f>
        <v>1822747</v>
      </c>
      <c r="P68" s="132">
        <f>F68-N68-O68</f>
        <v>0.17999999993480742</v>
      </c>
      <c r="Q68" s="132">
        <f t="shared" si="23"/>
        <v>1922747.18</v>
      </c>
      <c r="R68" s="132">
        <f t="shared" si="19"/>
        <v>-100000.17999999993</v>
      </c>
      <c r="S68" s="132"/>
      <c r="T68" s="132">
        <v>-100000.17999999993</v>
      </c>
      <c r="U68" s="132">
        <v>-100000.17999999993</v>
      </c>
      <c r="V68" s="132"/>
      <c r="W68" s="132"/>
      <c r="X68" s="551" t="s">
        <v>1139</v>
      </c>
      <c r="Y68" s="132"/>
      <c r="Z68" s="132"/>
      <c r="AA68" s="132"/>
      <c r="AB68" s="132"/>
      <c r="AC68" s="132"/>
      <c r="AD68" s="132"/>
      <c r="AE68" s="132"/>
      <c r="AF68" s="132"/>
      <c r="AG68" s="132">
        <v>-100000</v>
      </c>
      <c r="AH68" s="132"/>
      <c r="AI68" s="132">
        <v>-100000</v>
      </c>
      <c r="AJ68" s="132">
        <v>-0.17999999993480742</v>
      </c>
      <c r="AK68" s="132">
        <v>-100000</v>
      </c>
      <c r="AL68" s="410"/>
      <c r="AM68" s="410"/>
      <c r="AN68" s="132">
        <f t="shared" si="17"/>
        <v>0</v>
      </c>
      <c r="AO68" s="410"/>
      <c r="AP68" s="410"/>
      <c r="AQ68" s="607"/>
      <c r="AR68" s="374"/>
      <c r="AS68" s="374"/>
      <c r="AT68" s="374"/>
      <c r="AU68" s="374"/>
      <c r="AV68" s="374"/>
      <c r="AW68" s="374"/>
      <c r="AX68" s="374"/>
      <c r="AY68" s="374"/>
      <c r="AZ68" s="552"/>
      <c r="BA68" s="552"/>
      <c r="BB68" s="552"/>
      <c r="BC68" s="552"/>
      <c r="BD68" s="552"/>
      <c r="BE68" s="552"/>
      <c r="BF68" s="552"/>
      <c r="BG68" s="552"/>
      <c r="BH68" s="135"/>
      <c r="BK68" s="135"/>
      <c r="BL68" s="135"/>
      <c r="BM68" s="135"/>
      <c r="BN68" s="395"/>
      <c r="BO68" s="395"/>
      <c r="BP68" s="395"/>
      <c r="BQ68" s="395"/>
      <c r="BR68" s="395"/>
      <c r="BS68" s="395"/>
      <c r="BT68" s="395"/>
      <c r="BU68" s="395"/>
      <c r="BV68" s="395"/>
    </row>
    <row r="69" spans="1:74" s="553" customFormat="1" ht="31.95" customHeight="1">
      <c r="A69" s="398" t="s">
        <v>1099</v>
      </c>
      <c r="B69" s="541" t="s">
        <v>1166</v>
      </c>
      <c r="C69" s="549">
        <f t="shared" si="18"/>
        <v>56</v>
      </c>
      <c r="D69" s="549">
        <v>2177</v>
      </c>
      <c r="E69" s="550" t="s">
        <v>1140</v>
      </c>
      <c r="F69" s="132">
        <v>12500000</v>
      </c>
      <c r="G69" s="132">
        <v>12500000</v>
      </c>
      <c r="H69" s="132">
        <f t="shared" si="20"/>
        <v>0</v>
      </c>
      <c r="I69" s="132">
        <v>12500000</v>
      </c>
      <c r="J69" s="132">
        <v>11260661.33</v>
      </c>
      <c r="K69" s="132"/>
      <c r="L69" s="132"/>
      <c r="M69" s="132">
        <f>SUM(K69:L69)</f>
        <v>0</v>
      </c>
      <c r="N69" s="132">
        <f>M69+J69</f>
        <v>11260661.33</v>
      </c>
      <c r="O69" s="132">
        <v>1239339</v>
      </c>
      <c r="P69" s="132">
        <f>F69-N69-O69</f>
        <v>-0.33000000007450581</v>
      </c>
      <c r="Q69" s="132">
        <f t="shared" si="23"/>
        <v>1239338.67</v>
      </c>
      <c r="R69" s="132">
        <f t="shared" si="19"/>
        <v>0.33000000007450581</v>
      </c>
      <c r="S69" s="132"/>
      <c r="T69" s="132">
        <v>0.33000000007450581</v>
      </c>
      <c r="U69" s="132">
        <v>70000.330000000075</v>
      </c>
      <c r="V69" s="132"/>
      <c r="W69" s="132">
        <v>-70000</v>
      </c>
      <c r="X69" s="551" t="s">
        <v>1141</v>
      </c>
      <c r="Y69" s="132"/>
      <c r="Z69" s="132"/>
      <c r="AA69" s="132"/>
      <c r="AB69" s="132"/>
      <c r="AC69" s="132"/>
      <c r="AD69" s="132"/>
      <c r="AE69" s="132"/>
      <c r="AF69" s="132"/>
      <c r="AG69" s="557"/>
      <c r="AH69" s="132"/>
      <c r="AI69" s="132">
        <v>0</v>
      </c>
      <c r="AJ69" s="132">
        <v>0.33000000007450581</v>
      </c>
      <c r="AK69" s="132">
        <v>0</v>
      </c>
      <c r="AL69" s="132">
        <v>70000</v>
      </c>
      <c r="AM69" s="132">
        <v>-70000</v>
      </c>
      <c r="AN69" s="132">
        <f t="shared" si="17"/>
        <v>0</v>
      </c>
      <c r="AO69" s="132"/>
      <c r="AP69" s="132"/>
      <c r="AQ69" s="607"/>
      <c r="AR69" s="374"/>
      <c r="AS69" s="374"/>
      <c r="AT69" s="374"/>
      <c r="AU69" s="374"/>
      <c r="AV69" s="374"/>
      <c r="AW69" s="374"/>
      <c r="AX69" s="374"/>
      <c r="AY69" s="374"/>
      <c r="AZ69" s="552"/>
      <c r="BA69" s="552"/>
      <c r="BB69" s="552"/>
      <c r="BC69" s="552"/>
      <c r="BD69" s="552"/>
      <c r="BE69" s="552"/>
      <c r="BF69" s="552"/>
      <c r="BG69" s="552"/>
      <c r="BH69" s="135"/>
      <c r="BK69" s="135"/>
      <c r="BL69" s="135"/>
      <c r="BM69" s="135"/>
      <c r="BN69" s="395"/>
      <c r="BO69" s="395"/>
      <c r="BP69" s="395"/>
      <c r="BQ69" s="395"/>
      <c r="BR69" s="395"/>
      <c r="BS69" s="395"/>
      <c r="BT69" s="395"/>
      <c r="BU69" s="395"/>
      <c r="BV69" s="395"/>
    </row>
    <row r="70" spans="1:74" s="563" customFormat="1" ht="31.95" customHeight="1">
      <c r="A70" s="398" t="s">
        <v>1099</v>
      </c>
      <c r="B70" s="541" t="s">
        <v>1166</v>
      </c>
      <c r="C70" s="549">
        <f t="shared" si="18"/>
        <v>57</v>
      </c>
      <c r="D70" s="549">
        <v>20052</v>
      </c>
      <c r="E70" s="550" t="s">
        <v>1142</v>
      </c>
      <c r="F70" s="132">
        <f>2270000+200553</f>
        <v>2470553</v>
      </c>
      <c r="G70" s="132">
        <v>2270000</v>
      </c>
      <c r="H70" s="132">
        <f t="shared" si="20"/>
        <v>200553</v>
      </c>
      <c r="I70" s="132"/>
      <c r="J70" s="132"/>
      <c r="K70" s="132"/>
      <c r="L70" s="132"/>
      <c r="M70" s="132"/>
      <c r="N70" s="132"/>
      <c r="O70" s="132">
        <f>2270000+200553</f>
        <v>2470553</v>
      </c>
      <c r="P70" s="132"/>
      <c r="Q70" s="132">
        <v>0</v>
      </c>
      <c r="R70" s="132">
        <f t="shared" si="19"/>
        <v>2470553</v>
      </c>
      <c r="S70" s="132">
        <f>2260000+10000</f>
        <v>2270000</v>
      </c>
      <c r="T70" s="132">
        <v>200553</v>
      </c>
      <c r="U70" s="132"/>
      <c r="V70" s="132">
        <v>0</v>
      </c>
      <c r="W70" s="132">
        <v>200553</v>
      </c>
      <c r="X70" s="551" t="s">
        <v>1143</v>
      </c>
      <c r="Y70" s="132"/>
      <c r="Z70" s="132"/>
      <c r="AA70" s="132"/>
      <c r="AB70" s="132"/>
      <c r="AC70" s="132"/>
      <c r="AD70" s="132"/>
      <c r="AE70" s="132"/>
      <c r="AF70" s="132"/>
      <c r="AG70" s="132">
        <v>200553</v>
      </c>
      <c r="AH70" s="132"/>
      <c r="AI70" s="132">
        <v>200553</v>
      </c>
      <c r="AJ70" s="132">
        <v>0</v>
      </c>
      <c r="AK70" s="132">
        <v>0</v>
      </c>
      <c r="AL70" s="132"/>
      <c r="AM70" s="132">
        <v>200553</v>
      </c>
      <c r="AN70" s="132">
        <f t="shared" si="17"/>
        <v>0</v>
      </c>
      <c r="AO70" s="132"/>
      <c r="AP70" s="132"/>
      <c r="AQ70" s="407"/>
      <c r="AR70" s="407"/>
      <c r="AS70" s="407"/>
      <c r="AT70" s="407"/>
      <c r="AU70" s="407"/>
      <c r="AV70" s="407"/>
      <c r="AW70" s="407"/>
      <c r="AX70" s="407"/>
      <c r="AY70" s="562"/>
      <c r="AZ70" s="562"/>
      <c r="BA70" s="562"/>
      <c r="BB70" s="562"/>
      <c r="BC70" s="562"/>
      <c r="BD70" s="562"/>
      <c r="BE70" s="562"/>
      <c r="BF70" s="562"/>
      <c r="BG70" s="136"/>
      <c r="BJ70" s="136"/>
      <c r="BK70" s="136"/>
      <c r="BL70" s="136"/>
      <c r="BM70" s="401"/>
      <c r="BN70" s="401"/>
      <c r="BO70" s="401"/>
      <c r="BP70" s="401"/>
      <c r="BQ70" s="401"/>
      <c r="BR70" s="401"/>
      <c r="BS70" s="401"/>
      <c r="BT70" s="401"/>
      <c r="BU70" s="401"/>
    </row>
    <row r="71" spans="1:74" s="563" customFormat="1" ht="31.95" customHeight="1">
      <c r="A71" s="398" t="s">
        <v>1099</v>
      </c>
      <c r="B71" s="541" t="s">
        <v>1166</v>
      </c>
      <c r="C71" s="549">
        <f t="shared" si="18"/>
        <v>58</v>
      </c>
      <c r="D71" s="549">
        <v>20054</v>
      </c>
      <c r="E71" s="550" t="s">
        <v>1133</v>
      </c>
      <c r="F71" s="132">
        <v>1400000</v>
      </c>
      <c r="G71" s="132">
        <v>3900000</v>
      </c>
      <c r="H71" s="132">
        <f t="shared" si="20"/>
        <v>-2500000</v>
      </c>
      <c r="I71" s="132"/>
      <c r="J71" s="132"/>
      <c r="K71" s="132"/>
      <c r="L71" s="132"/>
      <c r="M71" s="132"/>
      <c r="N71" s="132">
        <f>J71+M71</f>
        <v>0</v>
      </c>
      <c r="O71" s="132">
        <v>1400000</v>
      </c>
      <c r="P71" s="132">
        <f>F71-N71-O71</f>
        <v>0</v>
      </c>
      <c r="Q71" s="132">
        <f>I71-N71</f>
        <v>0</v>
      </c>
      <c r="R71" s="132">
        <f t="shared" si="19"/>
        <v>1400000</v>
      </c>
      <c r="S71" s="132">
        <v>3900000</v>
      </c>
      <c r="T71" s="132">
        <v>-2500000</v>
      </c>
      <c r="U71" s="132">
        <v>-1600000</v>
      </c>
      <c r="V71" s="132">
        <v>-900000</v>
      </c>
      <c r="W71" s="132"/>
      <c r="X71" s="551" t="s">
        <v>1144</v>
      </c>
      <c r="Y71" s="132"/>
      <c r="Z71" s="132"/>
      <c r="AA71" s="132"/>
      <c r="AB71" s="132"/>
      <c r="AC71" s="132"/>
      <c r="AD71" s="132"/>
      <c r="AE71" s="132"/>
      <c r="AF71" s="132"/>
      <c r="AG71" s="561">
        <v>-2500000</v>
      </c>
      <c r="AH71" s="561"/>
      <c r="AI71" s="132">
        <v>-2500000</v>
      </c>
      <c r="AJ71" s="132">
        <v>0</v>
      </c>
      <c r="AK71" s="132">
        <v>-1600000</v>
      </c>
      <c r="AL71" s="132">
        <v>-900000</v>
      </c>
      <c r="AM71" s="132"/>
      <c r="AN71" s="132">
        <f t="shared" si="17"/>
        <v>0</v>
      </c>
      <c r="AO71" s="132"/>
      <c r="AP71" s="132"/>
      <c r="AQ71" s="407"/>
      <c r="AR71" s="407"/>
      <c r="AS71" s="407"/>
      <c r="AT71" s="407"/>
      <c r="AU71" s="407"/>
      <c r="AV71" s="407"/>
      <c r="AW71" s="407"/>
      <c r="AX71" s="407"/>
      <c r="AY71" s="562"/>
      <c r="AZ71" s="562"/>
      <c r="BA71" s="562"/>
      <c r="BB71" s="562"/>
      <c r="BC71" s="562"/>
      <c r="BD71" s="562"/>
      <c r="BE71" s="562"/>
      <c r="BF71" s="562"/>
      <c r="BG71" s="136"/>
      <c r="BJ71" s="136"/>
      <c r="BK71" s="136"/>
      <c r="BL71" s="136"/>
      <c r="BM71" s="401"/>
      <c r="BN71" s="401"/>
      <c r="BO71" s="401"/>
      <c r="BP71" s="401"/>
      <c r="BQ71" s="401"/>
      <c r="BR71" s="401"/>
      <c r="BS71" s="401"/>
      <c r="BT71" s="401"/>
      <c r="BU71" s="401"/>
    </row>
    <row r="72" spans="1:74" s="553" customFormat="1" ht="31.95" customHeight="1">
      <c r="A72" s="398" t="s">
        <v>1099</v>
      </c>
      <c r="B72" s="541" t="s">
        <v>1166</v>
      </c>
      <c r="C72" s="549">
        <f t="shared" si="18"/>
        <v>59</v>
      </c>
      <c r="D72" s="549">
        <v>20055</v>
      </c>
      <c r="E72" s="550" t="s">
        <v>1145</v>
      </c>
      <c r="F72" s="132">
        <v>2000000</v>
      </c>
      <c r="G72" s="132"/>
      <c r="H72" s="132">
        <f t="shared" si="20"/>
        <v>2000000</v>
      </c>
      <c r="I72" s="132"/>
      <c r="J72" s="132"/>
      <c r="K72" s="132"/>
      <c r="L72" s="132"/>
      <c r="M72" s="132">
        <f>SUM(K72:L72)</f>
        <v>0</v>
      </c>
      <c r="N72" s="132">
        <f>M72+J72</f>
        <v>0</v>
      </c>
      <c r="O72" s="132">
        <v>2000000</v>
      </c>
      <c r="P72" s="132">
        <f>F72-N72-O72</f>
        <v>0</v>
      </c>
      <c r="Q72" s="132">
        <f>I72-N72</f>
        <v>0</v>
      </c>
      <c r="R72" s="132">
        <f t="shared" si="19"/>
        <v>2000000</v>
      </c>
      <c r="S72" s="132"/>
      <c r="T72" s="132">
        <v>2000000</v>
      </c>
      <c r="U72" s="132">
        <v>1100000</v>
      </c>
      <c r="V72" s="132">
        <v>900000</v>
      </c>
      <c r="W72" s="132"/>
      <c r="X72" s="551" t="s">
        <v>1146</v>
      </c>
      <c r="Y72" s="132"/>
      <c r="Z72" s="132"/>
      <c r="AA72" s="132"/>
      <c r="AB72" s="132"/>
      <c r="AC72" s="132"/>
      <c r="AD72" s="132"/>
      <c r="AE72" s="132"/>
      <c r="AF72" s="132"/>
      <c r="AG72" s="132">
        <v>2000000</v>
      </c>
      <c r="AH72" s="132"/>
      <c r="AI72" s="132">
        <v>2000000</v>
      </c>
      <c r="AJ72" s="132">
        <v>0</v>
      </c>
      <c r="AK72" s="132">
        <v>1100000</v>
      </c>
      <c r="AL72" s="132">
        <v>900000</v>
      </c>
      <c r="AM72" s="410"/>
      <c r="AN72" s="132">
        <f t="shared" si="17"/>
        <v>0</v>
      </c>
      <c r="AO72" s="132"/>
      <c r="AP72" s="410"/>
      <c r="AQ72" s="607"/>
      <c r="AR72" s="374"/>
      <c r="AS72" s="374"/>
      <c r="AT72" s="374"/>
      <c r="AU72" s="374"/>
      <c r="AV72" s="374"/>
      <c r="AW72" s="374"/>
      <c r="AX72" s="374"/>
      <c r="AY72" s="374"/>
      <c r="AZ72" s="552"/>
      <c r="BA72" s="552"/>
      <c r="BB72" s="552"/>
      <c r="BC72" s="552"/>
      <c r="BD72" s="552"/>
      <c r="BE72" s="552"/>
      <c r="BF72" s="552"/>
      <c r="BG72" s="552"/>
      <c r="BH72" s="135"/>
      <c r="BK72" s="135"/>
      <c r="BL72" s="135"/>
      <c r="BM72" s="135"/>
      <c r="BN72" s="395"/>
      <c r="BO72" s="395"/>
      <c r="BP72" s="395"/>
      <c r="BQ72" s="395"/>
      <c r="BR72" s="395"/>
      <c r="BS72" s="395"/>
      <c r="BT72" s="395"/>
      <c r="BU72" s="395"/>
      <c r="BV72" s="395"/>
    </row>
    <row r="73" spans="1:74" s="563" customFormat="1" ht="31.95" customHeight="1">
      <c r="A73" s="541" t="s">
        <v>1103</v>
      </c>
      <c r="B73" s="541" t="s">
        <v>1166</v>
      </c>
      <c r="C73" s="549">
        <f t="shared" si="18"/>
        <v>60</v>
      </c>
      <c r="D73" s="549">
        <v>20037</v>
      </c>
      <c r="E73" s="550" t="s">
        <v>733</v>
      </c>
      <c r="F73" s="132">
        <v>2200000</v>
      </c>
      <c r="G73" s="132">
        <v>2000000</v>
      </c>
      <c r="H73" s="132">
        <f t="shared" si="20"/>
        <v>200000</v>
      </c>
      <c r="I73" s="132"/>
      <c r="J73" s="132"/>
      <c r="K73" s="132"/>
      <c r="L73" s="132"/>
      <c r="M73" s="132"/>
      <c r="N73" s="132">
        <f>J73+M73</f>
        <v>0</v>
      </c>
      <c r="O73" s="132">
        <v>2200000</v>
      </c>
      <c r="P73" s="132">
        <f>F73-N73-O73</f>
        <v>0</v>
      </c>
      <c r="Q73" s="132">
        <f>I73-N73</f>
        <v>0</v>
      </c>
      <c r="R73" s="132">
        <f t="shared" si="19"/>
        <v>2200000</v>
      </c>
      <c r="S73" s="132">
        <v>1500000</v>
      </c>
      <c r="T73" s="132">
        <v>700000</v>
      </c>
      <c r="U73" s="132">
        <v>700000</v>
      </c>
      <c r="V73" s="132"/>
      <c r="W73" s="132"/>
      <c r="X73" s="551" t="s">
        <v>1147</v>
      </c>
      <c r="Y73" s="132"/>
      <c r="Z73" s="132"/>
      <c r="AA73" s="132"/>
      <c r="AB73" s="132"/>
      <c r="AC73" s="132"/>
      <c r="AD73" s="132"/>
      <c r="AE73" s="132"/>
      <c r="AF73" s="132"/>
      <c r="AG73" s="132">
        <v>700000</v>
      </c>
      <c r="AH73" s="132"/>
      <c r="AI73" s="132">
        <v>700000</v>
      </c>
      <c r="AJ73" s="132">
        <v>0</v>
      </c>
      <c r="AK73" s="132">
        <v>700000</v>
      </c>
      <c r="AL73" s="132"/>
      <c r="AM73" s="132"/>
      <c r="AN73" s="132">
        <f t="shared" si="17"/>
        <v>0</v>
      </c>
      <c r="AO73" s="132"/>
      <c r="AP73" s="132"/>
      <c r="AQ73" s="407"/>
      <c r="AR73" s="407"/>
      <c r="AS73" s="407"/>
      <c r="AT73" s="407"/>
      <c r="AU73" s="407"/>
      <c r="AV73" s="407"/>
      <c r="AW73" s="407"/>
      <c r="AX73" s="407"/>
      <c r="AY73" s="562"/>
      <c r="AZ73" s="562"/>
      <c r="BA73" s="562"/>
      <c r="BB73" s="562"/>
      <c r="BC73" s="562"/>
      <c r="BD73" s="562"/>
      <c r="BE73" s="562"/>
      <c r="BF73" s="562"/>
      <c r="BG73" s="136"/>
      <c r="BJ73" s="136"/>
      <c r="BK73" s="136"/>
      <c r="BL73" s="136"/>
      <c r="BM73" s="401"/>
      <c r="BN73" s="401"/>
      <c r="BO73" s="401"/>
      <c r="BP73" s="401"/>
      <c r="BQ73" s="401"/>
      <c r="BR73" s="401"/>
      <c r="BS73" s="401"/>
      <c r="BT73" s="401"/>
      <c r="BU73" s="401"/>
    </row>
    <row r="74" spans="1:74" s="553" customFormat="1" ht="31.95" customHeight="1">
      <c r="A74" s="541" t="s">
        <v>1103</v>
      </c>
      <c r="B74" s="541" t="s">
        <v>1166</v>
      </c>
      <c r="C74" s="549">
        <f t="shared" si="18"/>
        <v>61</v>
      </c>
      <c r="D74" s="549">
        <v>2157</v>
      </c>
      <c r="E74" s="550" t="s">
        <v>488</v>
      </c>
      <c r="F74" s="132">
        <v>5200000</v>
      </c>
      <c r="G74" s="132">
        <v>5200000</v>
      </c>
      <c r="H74" s="132">
        <f t="shared" si="20"/>
        <v>0</v>
      </c>
      <c r="I74" s="132">
        <v>150000</v>
      </c>
      <c r="J74" s="132"/>
      <c r="K74" s="132"/>
      <c r="L74" s="132"/>
      <c r="M74" s="132">
        <f>SUM(K74:L74)</f>
        <v>0</v>
      </c>
      <c r="N74" s="132">
        <f>M74+J74</f>
        <v>0</v>
      </c>
      <c r="O74" s="132">
        <f>500000-600000+150000</f>
        <v>50000</v>
      </c>
      <c r="P74" s="132">
        <f>F74-N74-O74</f>
        <v>5150000</v>
      </c>
      <c r="Q74" s="132">
        <f>I74-N74</f>
        <v>150000</v>
      </c>
      <c r="R74" s="132">
        <f t="shared" si="19"/>
        <v>-100000</v>
      </c>
      <c r="S74" s="132">
        <v>500000</v>
      </c>
      <c r="T74" s="132">
        <v>-600000</v>
      </c>
      <c r="U74" s="132">
        <v>0</v>
      </c>
      <c r="V74" s="132">
        <v>-600000</v>
      </c>
      <c r="W74" s="132"/>
      <c r="X74" s="551" t="s">
        <v>1097</v>
      </c>
      <c r="Y74" s="132"/>
      <c r="Z74" s="132"/>
      <c r="AA74" s="132"/>
      <c r="AB74" s="132"/>
      <c r="AC74" s="132"/>
      <c r="AD74" s="132"/>
      <c r="AE74" s="132"/>
      <c r="AF74" s="132"/>
      <c r="AG74" s="132">
        <v>-100000</v>
      </c>
      <c r="AH74" s="132"/>
      <c r="AI74" s="132">
        <v>-100000</v>
      </c>
      <c r="AJ74" s="132">
        <v>-500000</v>
      </c>
      <c r="AK74" s="132">
        <v>0</v>
      </c>
      <c r="AL74" s="132">
        <v>-100000</v>
      </c>
      <c r="AM74" s="410"/>
      <c r="AN74" s="132">
        <f t="shared" si="17"/>
        <v>0</v>
      </c>
      <c r="AO74" s="132"/>
      <c r="AP74" s="410"/>
      <c r="AQ74" s="607"/>
      <c r="AR74" s="374"/>
      <c r="AS74" s="374"/>
      <c r="AT74" s="374"/>
      <c r="AU74" s="374"/>
      <c r="AV74" s="374"/>
      <c r="AW74" s="374"/>
      <c r="AX74" s="374"/>
      <c r="AY74" s="374"/>
      <c r="AZ74" s="552"/>
      <c r="BA74" s="552"/>
      <c r="BB74" s="552"/>
      <c r="BC74" s="552"/>
      <c r="BD74" s="552"/>
      <c r="BE74" s="552"/>
      <c r="BF74" s="552"/>
      <c r="BG74" s="552"/>
      <c r="BH74" s="135"/>
      <c r="BK74" s="135"/>
      <c r="BL74" s="135"/>
      <c r="BM74" s="135"/>
      <c r="BN74" s="395"/>
      <c r="BO74" s="395"/>
      <c r="BP74" s="395"/>
      <c r="BQ74" s="395"/>
      <c r="BR74" s="395"/>
      <c r="BS74" s="395"/>
      <c r="BT74" s="395"/>
      <c r="BU74" s="395"/>
      <c r="BV74" s="395"/>
    </row>
    <row r="75" spans="1:74" s="553" customFormat="1" ht="31.95" customHeight="1">
      <c r="A75" s="541" t="s">
        <v>1103</v>
      </c>
      <c r="B75" s="541" t="s">
        <v>1166</v>
      </c>
      <c r="C75" s="549">
        <f t="shared" si="18"/>
        <v>62</v>
      </c>
      <c r="D75" s="549">
        <v>20052</v>
      </c>
      <c r="E75" s="550" t="s">
        <v>1142</v>
      </c>
      <c r="F75" s="132">
        <f>2470553+350000</f>
        <v>2820553</v>
      </c>
      <c r="G75" s="132">
        <v>2470553</v>
      </c>
      <c r="H75" s="132">
        <f t="shared" si="20"/>
        <v>350000</v>
      </c>
      <c r="I75" s="132"/>
      <c r="J75" s="132"/>
      <c r="K75" s="132"/>
      <c r="L75" s="132"/>
      <c r="M75" s="132">
        <f>SUM(K75:L75)</f>
        <v>0</v>
      </c>
      <c r="N75" s="132">
        <f>M75+J75</f>
        <v>0</v>
      </c>
      <c r="O75" s="132">
        <v>2820553</v>
      </c>
      <c r="P75" s="132">
        <f>F75-N75-O75</f>
        <v>0</v>
      </c>
      <c r="Q75" s="132">
        <f>I75-N75</f>
        <v>0</v>
      </c>
      <c r="R75" s="132">
        <f t="shared" si="19"/>
        <v>2820553</v>
      </c>
      <c r="S75" s="132">
        <v>2470553</v>
      </c>
      <c r="T75" s="132">
        <v>350000</v>
      </c>
      <c r="U75" s="132">
        <v>350000</v>
      </c>
      <c r="V75" s="132"/>
      <c r="W75" s="132"/>
      <c r="X75" s="551" t="s">
        <v>1148</v>
      </c>
      <c r="Y75" s="132"/>
      <c r="Z75" s="132"/>
      <c r="AA75" s="132"/>
      <c r="AB75" s="132"/>
      <c r="AC75" s="132"/>
      <c r="AD75" s="132"/>
      <c r="AE75" s="132"/>
      <c r="AF75" s="132"/>
      <c r="AG75" s="132">
        <v>350000</v>
      </c>
      <c r="AH75" s="132"/>
      <c r="AI75" s="132">
        <v>350000</v>
      </c>
      <c r="AJ75" s="132">
        <v>0</v>
      </c>
      <c r="AK75" s="132">
        <v>350000</v>
      </c>
      <c r="AL75" s="410"/>
      <c r="AM75" s="410"/>
      <c r="AN75" s="132">
        <f t="shared" si="17"/>
        <v>0</v>
      </c>
      <c r="AO75" s="410"/>
      <c r="AP75" s="410"/>
      <c r="AQ75" s="607"/>
      <c r="AR75" s="374"/>
      <c r="AS75" s="374"/>
      <c r="AT75" s="374"/>
      <c r="AU75" s="374"/>
      <c r="AV75" s="374"/>
      <c r="AW75" s="374"/>
      <c r="AX75" s="374"/>
      <c r="AY75" s="374"/>
      <c r="AZ75" s="552"/>
      <c r="BA75" s="552"/>
      <c r="BB75" s="552"/>
      <c r="BC75" s="552"/>
      <c r="BD75" s="552"/>
      <c r="BE75" s="552"/>
      <c r="BF75" s="552"/>
      <c r="BG75" s="552"/>
      <c r="BH75" s="135"/>
      <c r="BK75" s="135"/>
      <c r="BL75" s="135"/>
      <c r="BM75" s="135"/>
      <c r="BN75" s="395"/>
      <c r="BO75" s="395"/>
      <c r="BP75" s="395"/>
      <c r="BQ75" s="395"/>
      <c r="BR75" s="395"/>
      <c r="BS75" s="395"/>
      <c r="BT75" s="395"/>
      <c r="BU75" s="395"/>
      <c r="BV75" s="395"/>
    </row>
    <row r="76" spans="1:74" s="553" customFormat="1" ht="31.95" customHeight="1">
      <c r="A76" s="605"/>
      <c r="B76" s="566"/>
      <c r="C76" s="566">
        <f>COUNT(C38:C75)</f>
        <v>38</v>
      </c>
      <c r="D76" s="566"/>
      <c r="E76" s="544" t="s">
        <v>809</v>
      </c>
      <c r="F76" s="134">
        <f t="shared" ref="F76:S76" si="24">SUM(F38:F75)</f>
        <v>263260106</v>
      </c>
      <c r="G76" s="134">
        <f t="shared" si="24"/>
        <v>233039553</v>
      </c>
      <c r="H76" s="134">
        <f t="shared" si="24"/>
        <v>30220553</v>
      </c>
      <c r="I76" s="134">
        <f t="shared" si="24"/>
        <v>107991866</v>
      </c>
      <c r="J76" s="134">
        <f t="shared" si="24"/>
        <v>84880611.719999999</v>
      </c>
      <c r="K76" s="134">
        <f t="shared" si="24"/>
        <v>0</v>
      </c>
      <c r="L76" s="134">
        <f t="shared" si="24"/>
        <v>9276</v>
      </c>
      <c r="M76" s="134">
        <f t="shared" si="24"/>
        <v>9276</v>
      </c>
      <c r="N76" s="134">
        <f t="shared" si="24"/>
        <v>84889887.719999999</v>
      </c>
      <c r="O76" s="134">
        <f t="shared" si="24"/>
        <v>138985061.75</v>
      </c>
      <c r="P76" s="134">
        <f t="shared" si="24"/>
        <v>39385156.530000001</v>
      </c>
      <c r="Q76" s="134">
        <f t="shared" si="24"/>
        <v>23101978.279999994</v>
      </c>
      <c r="R76" s="134">
        <f t="shared" si="24"/>
        <v>115883083.46999998</v>
      </c>
      <c r="S76" s="134">
        <f t="shared" si="24"/>
        <v>87440553</v>
      </c>
      <c r="T76" s="134">
        <v>28442530.469999999</v>
      </c>
      <c r="U76" s="134">
        <v>11360000.470000001</v>
      </c>
      <c r="V76" s="134">
        <v>11681829</v>
      </c>
      <c r="W76" s="134">
        <v>5400701</v>
      </c>
      <c r="X76" s="134"/>
      <c r="Y76" s="134">
        <v>260000</v>
      </c>
      <c r="Z76" s="134">
        <v>3960000</v>
      </c>
      <c r="AA76" s="134">
        <v>2401977</v>
      </c>
      <c r="AB76" s="134">
        <v>12450000</v>
      </c>
      <c r="AC76" s="134">
        <v>600000</v>
      </c>
      <c r="AD76" s="134">
        <v>4270000</v>
      </c>
      <c r="AE76" s="134">
        <v>0</v>
      </c>
      <c r="AF76" s="134">
        <v>2950000</v>
      </c>
      <c r="AG76" s="134">
        <v>4850553</v>
      </c>
      <c r="AH76" s="134">
        <v>0</v>
      </c>
      <c r="AI76" s="134">
        <v>31742530</v>
      </c>
      <c r="AJ76" s="134">
        <v>-3299999.5299999993</v>
      </c>
      <c r="AK76" s="134">
        <v>11890000</v>
      </c>
      <c r="AL76" s="134">
        <v>14451829</v>
      </c>
      <c r="AM76" s="134">
        <v>5400701</v>
      </c>
      <c r="AN76" s="134">
        <f t="shared" ref="AN76:AP76" si="25">SUM(AN38:AN75)</f>
        <v>0</v>
      </c>
      <c r="AO76" s="134">
        <f t="shared" si="25"/>
        <v>0</v>
      </c>
      <c r="AP76" s="134">
        <f t="shared" si="25"/>
        <v>0</v>
      </c>
      <c r="AQ76" s="374"/>
      <c r="AR76" s="374"/>
      <c r="AS76" s="374"/>
      <c r="AT76" s="374"/>
      <c r="AU76" s="374"/>
      <c r="AV76" s="374"/>
      <c r="AW76" s="374"/>
      <c r="AX76" s="374"/>
      <c r="AY76" s="552"/>
      <c r="AZ76" s="552"/>
      <c r="BA76" s="552"/>
      <c r="BB76" s="552"/>
      <c r="BC76" s="552"/>
      <c r="BD76" s="552"/>
      <c r="BE76" s="552"/>
      <c r="BF76" s="552"/>
      <c r="BG76" s="135"/>
      <c r="BJ76" s="135"/>
      <c r="BK76" s="135"/>
      <c r="BL76" s="135"/>
      <c r="BM76" s="395"/>
      <c r="BN76" s="395"/>
      <c r="BO76" s="395"/>
      <c r="BP76" s="395"/>
      <c r="BQ76" s="395"/>
      <c r="BR76" s="395"/>
      <c r="BS76" s="395"/>
      <c r="BT76" s="395"/>
      <c r="BU76" s="395"/>
    </row>
    <row r="77" spans="1:74" s="71" customFormat="1" ht="31.95" customHeight="1">
      <c r="A77" s="409"/>
      <c r="B77" s="554"/>
      <c r="C77" s="554"/>
      <c r="D77" s="555"/>
      <c r="E77" s="548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556"/>
      <c r="Y77" s="134"/>
      <c r="Z77" s="134"/>
      <c r="AA77" s="134"/>
      <c r="AB77" s="134"/>
      <c r="AC77" s="134"/>
      <c r="AD77" s="134"/>
      <c r="AE77" s="134"/>
      <c r="AF77" s="134"/>
      <c r="AG77" s="134">
        <v>7800553</v>
      </c>
      <c r="AH77" s="134"/>
      <c r="AI77" s="134"/>
      <c r="AJ77" s="134"/>
      <c r="AK77" s="134"/>
      <c r="AL77" s="134"/>
      <c r="AM77" s="134"/>
      <c r="AN77" s="134"/>
      <c r="AO77" s="134"/>
      <c r="AP77" s="134"/>
      <c r="AQ77" s="184"/>
      <c r="AR77" s="184"/>
      <c r="AS77" s="184"/>
      <c r="AT77" s="184"/>
      <c r="AU77" s="184"/>
      <c r="AV77" s="184"/>
      <c r="AW77" s="184"/>
      <c r="AX77" s="184"/>
      <c r="AY77" s="535"/>
      <c r="AZ77" s="535"/>
      <c r="BA77" s="535"/>
      <c r="BB77" s="535"/>
      <c r="BC77" s="535"/>
      <c r="BD77" s="535"/>
      <c r="BE77" s="535"/>
      <c r="BF77" s="535"/>
      <c r="BG77" s="61"/>
      <c r="BJ77" s="61"/>
      <c r="BK77" s="61"/>
      <c r="BL77" s="61"/>
      <c r="BM77" s="172"/>
      <c r="BN77" s="172"/>
      <c r="BO77" s="172"/>
      <c r="BP77" s="172"/>
      <c r="BQ77" s="172"/>
      <c r="BR77" s="172"/>
      <c r="BS77" s="172"/>
      <c r="BT77" s="172"/>
      <c r="BU77" s="172"/>
    </row>
    <row r="78" spans="1:74" s="553" customFormat="1" ht="31.95" customHeight="1">
      <c r="A78" s="604"/>
      <c r="B78" s="549"/>
      <c r="C78" s="549"/>
      <c r="D78" s="549"/>
      <c r="E78" s="544" t="s">
        <v>240</v>
      </c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549"/>
      <c r="X78" s="542"/>
      <c r="Y78" s="549"/>
      <c r="Z78" s="549"/>
      <c r="AA78" s="549"/>
      <c r="AB78" s="549"/>
      <c r="AC78" s="549"/>
      <c r="AD78" s="549"/>
      <c r="AE78" s="549"/>
      <c r="AF78" s="549"/>
      <c r="AG78" s="549"/>
      <c r="AH78" s="549"/>
      <c r="AI78" s="549"/>
      <c r="AJ78" s="549"/>
      <c r="AK78" s="549"/>
      <c r="AL78" s="549"/>
      <c r="AM78" s="549"/>
      <c r="AN78" s="549"/>
      <c r="AO78" s="549"/>
      <c r="AP78" s="549"/>
      <c r="AQ78" s="374"/>
      <c r="AR78" s="374"/>
      <c r="AS78" s="374"/>
      <c r="AT78" s="374"/>
      <c r="AU78" s="374"/>
      <c r="AV78" s="374"/>
      <c r="AW78" s="374"/>
      <c r="AX78" s="374"/>
      <c r="AY78" s="552"/>
      <c r="AZ78" s="552"/>
      <c r="BA78" s="552"/>
      <c r="BB78" s="552"/>
      <c r="BC78" s="552"/>
      <c r="BD78" s="552"/>
      <c r="BE78" s="552"/>
      <c r="BF78" s="552"/>
      <c r="BG78" s="135"/>
      <c r="BJ78" s="135"/>
      <c r="BK78" s="135"/>
      <c r="BL78" s="135"/>
      <c r="BM78" s="395"/>
      <c r="BN78" s="395"/>
      <c r="BO78" s="395"/>
      <c r="BP78" s="395"/>
      <c r="BQ78" s="395"/>
      <c r="BR78" s="395"/>
      <c r="BS78" s="395"/>
      <c r="BT78" s="395"/>
      <c r="BU78" s="395"/>
    </row>
    <row r="79" spans="1:74" s="553" customFormat="1" ht="31.95" customHeight="1">
      <c r="A79" s="398" t="s">
        <v>1078</v>
      </c>
      <c r="B79" s="541" t="s">
        <v>1079</v>
      </c>
      <c r="C79" s="549">
        <v>63</v>
      </c>
      <c r="D79" s="549">
        <v>2091</v>
      </c>
      <c r="E79" s="550" t="s">
        <v>297</v>
      </c>
      <c r="F79" s="132">
        <v>1360000</v>
      </c>
      <c r="G79" s="132">
        <v>1120000</v>
      </c>
      <c r="H79" s="132">
        <f>F79-G79</f>
        <v>240000</v>
      </c>
      <c r="I79" s="132">
        <v>80000</v>
      </c>
      <c r="J79" s="132">
        <v>80000</v>
      </c>
      <c r="K79" s="132"/>
      <c r="L79" s="132"/>
      <c r="M79" s="132">
        <f>SUM(K79:L79)</f>
        <v>0</v>
      </c>
      <c r="N79" s="132">
        <f>M79+J79</f>
        <v>80000</v>
      </c>
      <c r="O79" s="132">
        <f>1040000+240000</f>
        <v>1280000</v>
      </c>
      <c r="P79" s="132">
        <f>F79-N79-O79</f>
        <v>0</v>
      </c>
      <c r="Q79" s="132">
        <f>I79-N79</f>
        <v>0</v>
      </c>
      <c r="R79" s="132">
        <f>O79-Q79</f>
        <v>1280000</v>
      </c>
      <c r="S79" s="132">
        <v>1040000</v>
      </c>
      <c r="T79" s="132">
        <v>240000</v>
      </c>
      <c r="U79" s="132">
        <v>0</v>
      </c>
      <c r="V79" s="132"/>
      <c r="W79" s="132">
        <v>240000</v>
      </c>
      <c r="X79" s="551" t="s">
        <v>1149</v>
      </c>
      <c r="Y79" s="132"/>
      <c r="Z79" s="132"/>
      <c r="AA79" s="132">
        <v>240000</v>
      </c>
      <c r="AB79" s="132"/>
      <c r="AC79" s="132"/>
      <c r="AD79" s="132"/>
      <c r="AE79" s="132"/>
      <c r="AF79" s="132"/>
      <c r="AG79" s="132"/>
      <c r="AH79" s="132"/>
      <c r="AI79" s="132">
        <v>240000</v>
      </c>
      <c r="AJ79" s="132">
        <v>0</v>
      </c>
      <c r="AK79" s="132">
        <v>0</v>
      </c>
      <c r="AL79" s="132"/>
      <c r="AM79" s="132">
        <v>240000</v>
      </c>
      <c r="AN79" s="132">
        <f>AH79-AO79-AP79</f>
        <v>0</v>
      </c>
      <c r="AO79" s="132"/>
      <c r="AP79" s="132"/>
      <c r="AQ79" s="374"/>
      <c r="AR79" s="374"/>
      <c r="AS79" s="374"/>
      <c r="AT79" s="374"/>
      <c r="AU79" s="374"/>
      <c r="AV79" s="374"/>
      <c r="AW79" s="374"/>
      <c r="AX79" s="374"/>
      <c r="AY79" s="552"/>
      <c r="AZ79" s="552"/>
      <c r="BA79" s="552"/>
      <c r="BB79" s="552"/>
      <c r="BC79" s="552"/>
      <c r="BD79" s="552"/>
      <c r="BE79" s="552"/>
      <c r="BF79" s="552"/>
      <c r="BG79" s="135"/>
      <c r="BJ79" s="135"/>
      <c r="BK79" s="135"/>
      <c r="BL79" s="135"/>
      <c r="BM79" s="395"/>
      <c r="BN79" s="395"/>
      <c r="BO79" s="395"/>
      <c r="BP79" s="395"/>
      <c r="BQ79" s="395"/>
      <c r="BR79" s="395"/>
      <c r="BS79" s="395"/>
      <c r="BT79" s="395"/>
      <c r="BU79" s="395"/>
    </row>
    <row r="80" spans="1:74" s="553" customFormat="1" ht="31.95" customHeight="1">
      <c r="A80" s="398" t="s">
        <v>1070</v>
      </c>
      <c r="B80" s="541" t="s">
        <v>1071</v>
      </c>
      <c r="C80" s="549">
        <v>64</v>
      </c>
      <c r="D80" s="549">
        <v>2217</v>
      </c>
      <c r="E80" s="3" t="s">
        <v>1150</v>
      </c>
      <c r="F80" s="132">
        <v>2650000</v>
      </c>
      <c r="G80" s="132">
        <v>2650000</v>
      </c>
      <c r="H80" s="132">
        <f>F80-G80</f>
        <v>0</v>
      </c>
      <c r="I80" s="132">
        <v>1210000</v>
      </c>
      <c r="J80" s="132">
        <v>1035535</v>
      </c>
      <c r="K80" s="132"/>
      <c r="L80" s="132"/>
      <c r="M80" s="132"/>
      <c r="N80" s="132">
        <f>M80+J80</f>
        <v>1035535</v>
      </c>
      <c r="O80" s="132">
        <f>1440000-300000+174465</f>
        <v>1314465</v>
      </c>
      <c r="P80" s="132">
        <f>F80-N80-O80</f>
        <v>300000</v>
      </c>
      <c r="Q80" s="132">
        <f>I80-N80</f>
        <v>174465</v>
      </c>
      <c r="R80" s="132">
        <f>O80-Q80</f>
        <v>1140000</v>
      </c>
      <c r="S80" s="132">
        <v>1440000</v>
      </c>
      <c r="T80" s="132">
        <v>-300000</v>
      </c>
      <c r="U80" s="132">
        <v>0</v>
      </c>
      <c r="V80" s="132">
        <v>-300000</v>
      </c>
      <c r="W80" s="132"/>
      <c r="X80" s="551" t="s">
        <v>1097</v>
      </c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>
        <v>0</v>
      </c>
      <c r="AJ80" s="132">
        <v>-300000</v>
      </c>
      <c r="AK80" s="132">
        <v>0</v>
      </c>
      <c r="AL80" s="132"/>
      <c r="AM80" s="132"/>
      <c r="AN80" s="132">
        <f>AH80-AO80-AP80</f>
        <v>0</v>
      </c>
      <c r="AO80" s="132"/>
      <c r="AP80" s="132"/>
      <c r="AQ80" s="374"/>
      <c r="AR80" s="374"/>
      <c r="AS80" s="374"/>
      <c r="AT80" s="374"/>
      <c r="AU80" s="374"/>
      <c r="AV80" s="374"/>
      <c r="AW80" s="374"/>
      <c r="AX80" s="374"/>
      <c r="AY80" s="552"/>
      <c r="AZ80" s="552"/>
      <c r="BA80" s="552"/>
      <c r="BB80" s="552"/>
      <c r="BC80" s="552"/>
      <c r="BD80" s="552"/>
      <c r="BE80" s="552"/>
      <c r="BF80" s="552"/>
      <c r="BG80" s="135"/>
      <c r="BJ80" s="135"/>
      <c r="BK80" s="135"/>
      <c r="BL80" s="135"/>
      <c r="BM80" s="395"/>
      <c r="BN80" s="395"/>
      <c r="BO80" s="395"/>
      <c r="BP80" s="395"/>
      <c r="BQ80" s="395"/>
      <c r="BR80" s="395"/>
      <c r="BS80" s="395"/>
      <c r="BT80" s="395"/>
      <c r="BU80" s="395"/>
    </row>
    <row r="81" spans="1:74" s="553" customFormat="1" ht="31.95" customHeight="1">
      <c r="A81" s="398" t="s">
        <v>1070</v>
      </c>
      <c r="B81" s="541" t="s">
        <v>1071</v>
      </c>
      <c r="C81" s="549">
        <f>C80+1</f>
        <v>65</v>
      </c>
      <c r="D81" s="549">
        <v>20044</v>
      </c>
      <c r="E81" s="3" t="s">
        <v>116</v>
      </c>
      <c r="F81" s="132">
        <f>476000+300000</f>
        <v>776000</v>
      </c>
      <c r="G81" s="132">
        <v>476000</v>
      </c>
      <c r="H81" s="132">
        <f>F81-G81</f>
        <v>300000</v>
      </c>
      <c r="I81" s="132"/>
      <c r="J81" s="132"/>
      <c r="K81" s="132"/>
      <c r="L81" s="132"/>
      <c r="M81" s="132"/>
      <c r="N81" s="132">
        <f>M81+J81</f>
        <v>0</v>
      </c>
      <c r="O81" s="132">
        <v>776000</v>
      </c>
      <c r="P81" s="132">
        <f>F81-N81-O81</f>
        <v>0</v>
      </c>
      <c r="Q81" s="132">
        <f>I81-N81</f>
        <v>0</v>
      </c>
      <c r="R81" s="132">
        <f>O81-Q81</f>
        <v>776000</v>
      </c>
      <c r="S81" s="132">
        <v>476000</v>
      </c>
      <c r="T81" s="132">
        <v>300000</v>
      </c>
      <c r="U81" s="132">
        <v>0</v>
      </c>
      <c r="V81" s="132">
        <v>300000</v>
      </c>
      <c r="W81" s="132"/>
      <c r="X81" s="551" t="s">
        <v>1135</v>
      </c>
      <c r="Y81" s="132"/>
      <c r="Z81" s="132"/>
      <c r="AA81" s="132"/>
      <c r="AB81" s="132"/>
      <c r="AC81" s="132"/>
      <c r="AD81" s="132">
        <v>300000</v>
      </c>
      <c r="AE81" s="132"/>
      <c r="AF81" s="132"/>
      <c r="AG81" s="132"/>
      <c r="AH81" s="132"/>
      <c r="AI81" s="132">
        <v>300000</v>
      </c>
      <c r="AJ81" s="132">
        <v>0</v>
      </c>
      <c r="AK81" s="132">
        <v>0</v>
      </c>
      <c r="AL81" s="132">
        <v>300000</v>
      </c>
      <c r="AM81" s="132"/>
      <c r="AN81" s="132">
        <f>AH81-AO81-AP81</f>
        <v>0</v>
      </c>
      <c r="AO81" s="132"/>
      <c r="AP81" s="132"/>
      <c r="AQ81" s="374"/>
      <c r="AR81" s="374"/>
      <c r="AS81" s="374"/>
      <c r="AT81" s="374"/>
      <c r="AU81" s="374"/>
      <c r="AV81" s="374"/>
      <c r="AW81" s="374"/>
      <c r="AX81" s="374"/>
      <c r="AY81" s="552"/>
      <c r="AZ81" s="552"/>
      <c r="BA81" s="552"/>
      <c r="BB81" s="552"/>
      <c r="BC81" s="552"/>
      <c r="BD81" s="552"/>
      <c r="BE81" s="552"/>
      <c r="BF81" s="552"/>
      <c r="BG81" s="135"/>
      <c r="BJ81" s="135"/>
      <c r="BK81" s="135"/>
      <c r="BL81" s="135"/>
      <c r="BM81" s="395"/>
      <c r="BN81" s="395"/>
      <c r="BO81" s="395"/>
      <c r="BP81" s="395"/>
      <c r="BQ81" s="395"/>
      <c r="BR81" s="395"/>
      <c r="BS81" s="395"/>
      <c r="BT81" s="395"/>
      <c r="BU81" s="395"/>
    </row>
    <row r="82" spans="1:74" s="553" customFormat="1" ht="31.95" customHeight="1">
      <c r="A82" s="398" t="s">
        <v>1167</v>
      </c>
      <c r="B82" s="541" t="s">
        <v>1234</v>
      </c>
      <c r="C82" s="549">
        <v>66</v>
      </c>
      <c r="D82" s="549">
        <v>2224</v>
      </c>
      <c r="E82" s="3" t="s">
        <v>666</v>
      </c>
      <c r="F82" s="132">
        <f>230000-15577</f>
        <v>214423</v>
      </c>
      <c r="G82" s="132">
        <v>230000</v>
      </c>
      <c r="H82" s="132">
        <f>F82-G82</f>
        <v>-15577</v>
      </c>
      <c r="I82" s="132">
        <v>230000</v>
      </c>
      <c r="J82" s="132">
        <v>90197</v>
      </c>
      <c r="K82" s="132"/>
      <c r="L82" s="132"/>
      <c r="M82" s="132">
        <f>SUM(K82:L82)</f>
        <v>0</v>
      </c>
      <c r="N82" s="132">
        <f>M82+J82</f>
        <v>90197</v>
      </c>
      <c r="O82" s="132">
        <v>124226</v>
      </c>
      <c r="P82" s="132">
        <f>F82-N82-O82</f>
        <v>0</v>
      </c>
      <c r="Q82" s="132">
        <f>I82-N82</f>
        <v>139803</v>
      </c>
      <c r="R82" s="132">
        <f>O82-Q82</f>
        <v>-15577</v>
      </c>
      <c r="S82" s="132"/>
      <c r="T82" s="132">
        <v>-15577</v>
      </c>
      <c r="U82" s="132">
        <v>0</v>
      </c>
      <c r="V82" s="132">
        <v>-1358</v>
      </c>
      <c r="W82" s="132">
        <v>-14219</v>
      </c>
      <c r="X82" s="551" t="s">
        <v>1169</v>
      </c>
      <c r="Y82" s="132"/>
      <c r="Z82" s="132"/>
      <c r="AA82" s="132"/>
      <c r="AB82" s="132">
        <v>0</v>
      </c>
      <c r="AC82" s="132"/>
      <c r="AD82" s="132"/>
      <c r="AE82" s="132"/>
      <c r="AF82" s="132"/>
      <c r="AG82" s="410"/>
      <c r="AH82" s="132">
        <v>-15577</v>
      </c>
      <c r="AI82" s="132">
        <v>-15577</v>
      </c>
      <c r="AJ82" s="132"/>
      <c r="AK82" s="132">
        <v>0</v>
      </c>
      <c r="AL82" s="132">
        <v>-1358</v>
      </c>
      <c r="AM82" s="132">
        <v>-14219</v>
      </c>
      <c r="AN82" s="132">
        <f>AH82-AO82-AP82</f>
        <v>0</v>
      </c>
      <c r="AO82" s="132">
        <v>-1358</v>
      </c>
      <c r="AP82" s="132">
        <v>-14219</v>
      </c>
      <c r="AQ82" s="374"/>
      <c r="AR82" s="374"/>
      <c r="AS82" s="374"/>
      <c r="AT82" s="374"/>
      <c r="AU82" s="374"/>
      <c r="AV82" s="374"/>
      <c r="AW82" s="552"/>
      <c r="AX82" s="552"/>
      <c r="AY82" s="552"/>
      <c r="AZ82" s="552"/>
      <c r="BA82" s="552"/>
      <c r="BB82" s="552"/>
      <c r="BC82" s="552"/>
      <c r="BD82" s="552"/>
      <c r="BE82" s="135"/>
      <c r="BH82" s="135"/>
      <c r="BI82" s="135"/>
      <c r="BJ82" s="135"/>
      <c r="BK82" s="395"/>
      <c r="BL82" s="395"/>
      <c r="BM82" s="395"/>
      <c r="BN82" s="395"/>
      <c r="BO82" s="395"/>
      <c r="BP82" s="395"/>
      <c r="BQ82" s="395"/>
      <c r="BR82" s="395"/>
      <c r="BS82" s="395"/>
    </row>
    <row r="83" spans="1:74" s="553" customFormat="1" ht="31.95" customHeight="1">
      <c r="A83" s="605"/>
      <c r="B83" s="566"/>
      <c r="C83" s="566">
        <f>COUNT(C79:C82)</f>
        <v>4</v>
      </c>
      <c r="D83" s="566"/>
      <c r="E83" s="544" t="s">
        <v>308</v>
      </c>
      <c r="F83" s="134">
        <f t="shared" ref="F83:S83" si="26">SUM(F79:F82)</f>
        <v>5000423</v>
      </c>
      <c r="G83" s="134">
        <f t="shared" si="26"/>
        <v>4476000</v>
      </c>
      <c r="H83" s="134">
        <f t="shared" si="26"/>
        <v>524423</v>
      </c>
      <c r="I83" s="134">
        <f t="shared" si="26"/>
        <v>1520000</v>
      </c>
      <c r="J83" s="134">
        <f t="shared" si="26"/>
        <v>1205732</v>
      </c>
      <c r="K83" s="134">
        <f t="shared" si="26"/>
        <v>0</v>
      </c>
      <c r="L83" s="134">
        <f t="shared" si="26"/>
        <v>0</v>
      </c>
      <c r="M83" s="134">
        <f t="shared" si="26"/>
        <v>0</v>
      </c>
      <c r="N83" s="134">
        <f t="shared" si="26"/>
        <v>1205732</v>
      </c>
      <c r="O83" s="134">
        <f t="shared" si="26"/>
        <v>3494691</v>
      </c>
      <c r="P83" s="134">
        <f t="shared" si="26"/>
        <v>300000</v>
      </c>
      <c r="Q83" s="134">
        <f t="shared" si="26"/>
        <v>314268</v>
      </c>
      <c r="R83" s="134">
        <f t="shared" si="26"/>
        <v>3180423</v>
      </c>
      <c r="S83" s="134">
        <f t="shared" si="26"/>
        <v>2956000</v>
      </c>
      <c r="T83" s="134">
        <v>224423</v>
      </c>
      <c r="U83" s="134">
        <v>0</v>
      </c>
      <c r="V83" s="134">
        <v>-1358</v>
      </c>
      <c r="W83" s="134">
        <v>225781</v>
      </c>
      <c r="X83" s="134"/>
      <c r="Y83" s="134">
        <v>0</v>
      </c>
      <c r="Z83" s="134">
        <v>0</v>
      </c>
      <c r="AA83" s="134">
        <v>240000</v>
      </c>
      <c r="AB83" s="134">
        <v>0</v>
      </c>
      <c r="AC83" s="134">
        <v>0</v>
      </c>
      <c r="AD83" s="134">
        <v>300000</v>
      </c>
      <c r="AE83" s="134">
        <v>0</v>
      </c>
      <c r="AF83" s="134">
        <v>0</v>
      </c>
      <c r="AG83" s="134">
        <v>0</v>
      </c>
      <c r="AH83" s="134">
        <v>-15577</v>
      </c>
      <c r="AI83" s="134">
        <v>524423</v>
      </c>
      <c r="AJ83" s="134">
        <v>-300000</v>
      </c>
      <c r="AK83" s="134">
        <v>0</v>
      </c>
      <c r="AL83" s="134">
        <v>298642</v>
      </c>
      <c r="AM83" s="134">
        <v>225781</v>
      </c>
      <c r="AN83" s="134">
        <f t="shared" ref="AN83:AP83" si="27">SUM(AN79:AN82)</f>
        <v>0</v>
      </c>
      <c r="AO83" s="134">
        <f t="shared" si="27"/>
        <v>-1358</v>
      </c>
      <c r="AP83" s="134">
        <f t="shared" si="27"/>
        <v>-14219</v>
      </c>
      <c r="AQ83" s="374"/>
      <c r="AR83" s="374"/>
      <c r="AS83" s="374"/>
      <c r="AT83" s="374"/>
      <c r="AU83" s="374"/>
      <c r="AV83" s="374"/>
      <c r="AW83" s="374"/>
      <c r="AX83" s="374"/>
      <c r="AY83" s="552"/>
      <c r="AZ83" s="552"/>
      <c r="BA83" s="552"/>
      <c r="BB83" s="552"/>
      <c r="BC83" s="552"/>
      <c r="BD83" s="552"/>
      <c r="BE83" s="552"/>
      <c r="BF83" s="552"/>
      <c r="BG83" s="135"/>
      <c r="BJ83" s="135"/>
      <c r="BK83" s="135"/>
      <c r="BL83" s="135"/>
      <c r="BM83" s="395"/>
      <c r="BN83" s="395"/>
      <c r="BO83" s="395"/>
      <c r="BP83" s="395"/>
      <c r="BQ83" s="395"/>
      <c r="BR83" s="395"/>
      <c r="BS83" s="395"/>
      <c r="BT83" s="395"/>
      <c r="BU83" s="395"/>
    </row>
    <row r="84" spans="1:74" s="553" customFormat="1" ht="31.95" customHeight="1">
      <c r="A84" s="604"/>
      <c r="B84" s="549"/>
      <c r="C84" s="549"/>
      <c r="D84" s="549"/>
      <c r="E84" s="544" t="s">
        <v>314</v>
      </c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549"/>
      <c r="X84" s="542"/>
      <c r="Y84" s="549"/>
      <c r="Z84" s="549"/>
      <c r="AA84" s="549"/>
      <c r="AB84" s="549"/>
      <c r="AC84" s="549"/>
      <c r="AD84" s="549"/>
      <c r="AE84" s="549"/>
      <c r="AF84" s="549"/>
      <c r="AG84" s="549"/>
      <c r="AH84" s="549"/>
      <c r="AI84" s="549"/>
      <c r="AJ84" s="549"/>
      <c r="AK84" s="549"/>
      <c r="AL84" s="549"/>
      <c r="AM84" s="549"/>
      <c r="AN84" s="549"/>
      <c r="AO84" s="549"/>
      <c r="AP84" s="549"/>
      <c r="AQ84" s="374"/>
      <c r="AR84" s="374"/>
      <c r="AS84" s="374"/>
      <c r="AT84" s="374"/>
      <c r="AU84" s="374"/>
      <c r="AV84" s="374"/>
      <c r="AW84" s="374"/>
      <c r="AX84" s="374"/>
      <c r="AY84" s="552"/>
      <c r="AZ84" s="552"/>
      <c r="BA84" s="552"/>
      <c r="BB84" s="552"/>
      <c r="BC84" s="552"/>
      <c r="BD84" s="552"/>
      <c r="BE84" s="552"/>
      <c r="BF84" s="552"/>
      <c r="BG84" s="135"/>
      <c r="BJ84" s="135"/>
      <c r="BK84" s="135"/>
      <c r="BL84" s="135"/>
      <c r="BM84" s="395"/>
      <c r="BN84" s="395"/>
      <c r="BO84" s="395"/>
      <c r="BP84" s="395"/>
      <c r="BQ84" s="395"/>
      <c r="BR84" s="395"/>
      <c r="BS84" s="395"/>
      <c r="BT84" s="395"/>
      <c r="BU84" s="395"/>
    </row>
    <row r="85" spans="1:74" s="553" customFormat="1" ht="31.95" customHeight="1">
      <c r="A85" s="541" t="s">
        <v>1103</v>
      </c>
      <c r="B85" s="541" t="s">
        <v>1166</v>
      </c>
      <c r="C85" s="549">
        <v>67</v>
      </c>
      <c r="D85" s="549">
        <v>20033</v>
      </c>
      <c r="E85" s="550" t="s">
        <v>1151</v>
      </c>
      <c r="F85" s="132">
        <f>910000+215000</f>
        <v>1125000</v>
      </c>
      <c r="G85" s="132">
        <v>910000</v>
      </c>
      <c r="H85" s="132">
        <f>F85-G85</f>
        <v>215000</v>
      </c>
      <c r="I85" s="132"/>
      <c r="J85" s="132"/>
      <c r="K85" s="132"/>
      <c r="L85" s="132"/>
      <c r="M85" s="132">
        <f>SUM(K85:L85)</f>
        <v>0</v>
      </c>
      <c r="N85" s="132">
        <f>M85+J85</f>
        <v>0</v>
      </c>
      <c r="O85" s="132">
        <f>910000+215000</f>
        <v>1125000</v>
      </c>
      <c r="P85" s="132">
        <f>F85-N85-O85</f>
        <v>0</v>
      </c>
      <c r="Q85" s="132">
        <f>I85-N85</f>
        <v>0</v>
      </c>
      <c r="R85" s="132">
        <f>O85-Q85</f>
        <v>1125000</v>
      </c>
      <c r="S85" s="132">
        <v>910000</v>
      </c>
      <c r="T85" s="132">
        <v>215000</v>
      </c>
      <c r="U85" s="132">
        <v>215000</v>
      </c>
      <c r="V85" s="132"/>
      <c r="W85" s="132"/>
      <c r="X85" s="551" t="s">
        <v>1152</v>
      </c>
      <c r="Y85" s="132"/>
      <c r="Z85" s="132"/>
      <c r="AA85" s="132"/>
      <c r="AB85" s="132"/>
      <c r="AC85" s="132"/>
      <c r="AD85" s="132"/>
      <c r="AE85" s="132"/>
      <c r="AF85" s="132">
        <v>215000</v>
      </c>
      <c r="AG85" s="132"/>
      <c r="AH85" s="132"/>
      <c r="AI85" s="132">
        <v>215000</v>
      </c>
      <c r="AJ85" s="132">
        <v>0</v>
      </c>
      <c r="AK85" s="132">
        <v>215000</v>
      </c>
      <c r="AL85" s="410"/>
      <c r="AM85" s="410"/>
      <c r="AN85" s="132">
        <f>AH85-AO85-AP85</f>
        <v>0</v>
      </c>
      <c r="AO85" s="410"/>
      <c r="AP85" s="410"/>
      <c r="AQ85" s="607"/>
      <c r="AR85" s="374"/>
      <c r="AS85" s="374"/>
      <c r="AT85" s="374"/>
      <c r="AU85" s="374"/>
      <c r="AV85" s="374"/>
      <c r="AW85" s="374"/>
      <c r="AX85" s="374"/>
      <c r="AY85" s="374"/>
      <c r="AZ85" s="552"/>
      <c r="BA85" s="552"/>
      <c r="BB85" s="552"/>
      <c r="BC85" s="552"/>
      <c r="BD85" s="552"/>
      <c r="BE85" s="552"/>
      <c r="BF85" s="552"/>
      <c r="BG85" s="552"/>
      <c r="BH85" s="135"/>
      <c r="BK85" s="135"/>
      <c r="BL85" s="135"/>
      <c r="BM85" s="135"/>
      <c r="BN85" s="395"/>
      <c r="BO85" s="395"/>
      <c r="BP85" s="395"/>
      <c r="BQ85" s="395"/>
      <c r="BR85" s="395"/>
      <c r="BS85" s="395"/>
      <c r="BT85" s="395"/>
      <c r="BU85" s="395"/>
      <c r="BV85" s="395"/>
    </row>
    <row r="86" spans="1:74" s="553" customFormat="1" ht="31.95" customHeight="1">
      <c r="A86" s="605"/>
      <c r="B86" s="566"/>
      <c r="C86" s="566">
        <f>COUNT(#REF!)+COUNT(C85)</f>
        <v>1</v>
      </c>
      <c r="D86" s="566"/>
      <c r="E86" s="544" t="s">
        <v>342</v>
      </c>
      <c r="F86" s="134">
        <f t="shared" ref="F86:S86" si="28">SUM(F85:F85)</f>
        <v>1125000</v>
      </c>
      <c r="G86" s="134">
        <f t="shared" si="28"/>
        <v>910000</v>
      </c>
      <c r="H86" s="134">
        <f t="shared" si="28"/>
        <v>215000</v>
      </c>
      <c r="I86" s="134">
        <f t="shared" si="28"/>
        <v>0</v>
      </c>
      <c r="J86" s="134">
        <f t="shared" si="28"/>
        <v>0</v>
      </c>
      <c r="K86" s="134">
        <f t="shared" si="28"/>
        <v>0</v>
      </c>
      <c r="L86" s="134">
        <f t="shared" si="28"/>
        <v>0</v>
      </c>
      <c r="M86" s="134">
        <f t="shared" si="28"/>
        <v>0</v>
      </c>
      <c r="N86" s="134">
        <f t="shared" si="28"/>
        <v>0</v>
      </c>
      <c r="O86" s="134">
        <f t="shared" si="28"/>
        <v>1125000</v>
      </c>
      <c r="P86" s="134">
        <f t="shared" si="28"/>
        <v>0</v>
      </c>
      <c r="Q86" s="134">
        <f t="shared" si="28"/>
        <v>0</v>
      </c>
      <c r="R86" s="134">
        <f t="shared" si="28"/>
        <v>1125000</v>
      </c>
      <c r="S86" s="134">
        <f t="shared" si="28"/>
        <v>910000</v>
      </c>
      <c r="T86" s="134">
        <v>215000</v>
      </c>
      <c r="U86" s="134">
        <v>215000</v>
      </c>
      <c r="V86" s="134">
        <v>0</v>
      </c>
      <c r="W86" s="134">
        <v>0</v>
      </c>
      <c r="X86" s="134"/>
      <c r="Y86" s="134">
        <v>0</v>
      </c>
      <c r="Z86" s="134">
        <v>0</v>
      </c>
      <c r="AA86" s="134">
        <v>0</v>
      </c>
      <c r="AB86" s="134">
        <v>0</v>
      </c>
      <c r="AC86" s="134">
        <v>0</v>
      </c>
      <c r="AD86" s="134">
        <v>0</v>
      </c>
      <c r="AE86" s="134">
        <v>0</v>
      </c>
      <c r="AF86" s="134">
        <v>215000</v>
      </c>
      <c r="AG86" s="134">
        <v>0</v>
      </c>
      <c r="AH86" s="134">
        <v>0</v>
      </c>
      <c r="AI86" s="134">
        <v>215000</v>
      </c>
      <c r="AJ86" s="134">
        <v>0</v>
      </c>
      <c r="AK86" s="134">
        <v>215000</v>
      </c>
      <c r="AL86" s="134">
        <v>0</v>
      </c>
      <c r="AM86" s="134">
        <v>0</v>
      </c>
      <c r="AN86" s="134">
        <f>SUM(AN85:AN85)</f>
        <v>0</v>
      </c>
      <c r="AO86" s="134">
        <f>SUM(AO85:AO85)</f>
        <v>0</v>
      </c>
      <c r="AP86" s="134">
        <f>SUM(AP85:AP85)</f>
        <v>0</v>
      </c>
      <c r="AQ86" s="374"/>
      <c r="AR86" s="374"/>
      <c r="AS86" s="374"/>
      <c r="AT86" s="374"/>
      <c r="AU86" s="374"/>
      <c r="AV86" s="374"/>
      <c r="AW86" s="374"/>
      <c r="AX86" s="374"/>
      <c r="AY86" s="552"/>
      <c r="AZ86" s="552"/>
      <c r="BA86" s="552"/>
      <c r="BB86" s="552"/>
      <c r="BC86" s="552"/>
      <c r="BD86" s="552"/>
      <c r="BE86" s="552"/>
      <c r="BF86" s="552"/>
      <c r="BG86" s="135"/>
      <c r="BJ86" s="135"/>
      <c r="BK86" s="135"/>
      <c r="BL86" s="135"/>
      <c r="BM86" s="395"/>
      <c r="BN86" s="395"/>
      <c r="BO86" s="395"/>
      <c r="BP86" s="395"/>
      <c r="BQ86" s="395"/>
      <c r="BR86" s="395"/>
      <c r="BS86" s="395"/>
      <c r="BT86" s="395"/>
      <c r="BU86" s="395"/>
    </row>
    <row r="87" spans="1:74" s="71" customFormat="1" ht="31.95" customHeight="1">
      <c r="A87" s="409"/>
      <c r="B87" s="554"/>
      <c r="C87" s="554"/>
      <c r="D87" s="555"/>
      <c r="E87" s="548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556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84"/>
      <c r="AR87" s="184"/>
      <c r="AS87" s="184"/>
      <c r="AT87" s="184"/>
      <c r="AU87" s="184"/>
      <c r="AV87" s="184"/>
      <c r="AW87" s="184"/>
      <c r="AX87" s="184"/>
      <c r="AY87" s="535"/>
      <c r="AZ87" s="535"/>
      <c r="BA87" s="535"/>
      <c r="BB87" s="535"/>
      <c r="BC87" s="535"/>
      <c r="BD87" s="535"/>
      <c r="BE87" s="535"/>
      <c r="BF87" s="535"/>
      <c r="BG87" s="61"/>
      <c r="BJ87" s="61"/>
      <c r="BK87" s="61"/>
      <c r="BL87" s="61"/>
      <c r="BM87" s="172"/>
      <c r="BN87" s="172"/>
      <c r="BO87" s="172"/>
      <c r="BP87" s="172"/>
      <c r="BQ87" s="172"/>
      <c r="BR87" s="172"/>
      <c r="BS87" s="172"/>
      <c r="BT87" s="172"/>
      <c r="BU87" s="172"/>
    </row>
    <row r="88" spans="1:74" s="553" customFormat="1" ht="31.95" customHeight="1">
      <c r="A88" s="604"/>
      <c r="B88" s="549"/>
      <c r="C88" s="549"/>
      <c r="D88" s="549"/>
      <c r="E88" s="544" t="s">
        <v>1457</v>
      </c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549"/>
      <c r="X88" s="542"/>
      <c r="Y88" s="549"/>
      <c r="Z88" s="549"/>
      <c r="AA88" s="549"/>
      <c r="AB88" s="549"/>
      <c r="AC88" s="549"/>
      <c r="AD88" s="549"/>
      <c r="AE88" s="549"/>
      <c r="AF88" s="549"/>
      <c r="AG88" s="549"/>
      <c r="AH88" s="549"/>
      <c r="AI88" s="549"/>
      <c r="AJ88" s="549"/>
      <c r="AK88" s="549"/>
      <c r="AL88" s="549"/>
      <c r="AM88" s="549"/>
      <c r="AN88" s="549"/>
      <c r="AO88" s="549"/>
      <c r="AP88" s="549"/>
      <c r="AQ88" s="374"/>
      <c r="AR88" s="374"/>
      <c r="AS88" s="374"/>
      <c r="AT88" s="374"/>
      <c r="AU88" s="374"/>
      <c r="AV88" s="374"/>
      <c r="AW88" s="374"/>
      <c r="AX88" s="374"/>
      <c r="AY88" s="552"/>
      <c r="AZ88" s="552"/>
      <c r="BA88" s="552"/>
      <c r="BB88" s="552"/>
      <c r="BC88" s="552"/>
      <c r="BD88" s="552"/>
      <c r="BE88" s="552"/>
      <c r="BF88" s="552"/>
      <c r="BG88" s="135"/>
      <c r="BJ88" s="135"/>
      <c r="BK88" s="135"/>
      <c r="BL88" s="135"/>
      <c r="BM88" s="395"/>
      <c r="BN88" s="395"/>
      <c r="BO88" s="395"/>
      <c r="BP88" s="395"/>
      <c r="BQ88" s="395"/>
      <c r="BR88" s="395"/>
      <c r="BS88" s="395"/>
      <c r="BT88" s="395"/>
      <c r="BU88" s="395"/>
    </row>
    <row r="89" spans="1:74" s="553" customFormat="1" ht="31.95" customHeight="1">
      <c r="A89" s="541" t="s">
        <v>1103</v>
      </c>
      <c r="B89" s="541" t="s">
        <v>1166</v>
      </c>
      <c r="C89" s="549">
        <v>68</v>
      </c>
      <c r="D89" s="549">
        <v>1982</v>
      </c>
      <c r="E89" s="550" t="s">
        <v>860</v>
      </c>
      <c r="F89" s="132">
        <v>15500000</v>
      </c>
      <c r="G89" s="132">
        <v>15500000</v>
      </c>
      <c r="H89" s="132">
        <f>F89-G89</f>
        <v>0</v>
      </c>
      <c r="I89" s="132">
        <v>12200000</v>
      </c>
      <c r="J89" s="132">
        <v>10671633.779999999</v>
      </c>
      <c r="K89" s="132"/>
      <c r="L89" s="132"/>
      <c r="M89" s="132">
        <f>SUM(K89:L89)</f>
        <v>0</v>
      </c>
      <c r="N89" s="132">
        <f>M89+J89</f>
        <v>10671633.779999999</v>
      </c>
      <c r="O89" s="132">
        <f>1650000+1000000+1528366</f>
        <v>4178366</v>
      </c>
      <c r="P89" s="132">
        <f>F89-N89-O89</f>
        <v>650000.22000000067</v>
      </c>
      <c r="Q89" s="132">
        <f>I89-N89</f>
        <v>1528366.2200000007</v>
      </c>
      <c r="R89" s="132">
        <f>O89-Q89</f>
        <v>2649999.7799999993</v>
      </c>
      <c r="S89" s="132">
        <v>1650000</v>
      </c>
      <c r="T89" s="132">
        <v>999999.77999999933</v>
      </c>
      <c r="U89" s="132">
        <v>-0.22000000067055225</v>
      </c>
      <c r="V89" s="132">
        <v>1000000</v>
      </c>
      <c r="W89" s="132"/>
      <c r="X89" s="551" t="s">
        <v>1153</v>
      </c>
      <c r="Y89" s="132"/>
      <c r="Z89" s="132"/>
      <c r="AA89" s="132"/>
      <c r="AB89" s="132"/>
      <c r="AC89" s="132"/>
      <c r="AD89" s="132"/>
      <c r="AE89" s="132"/>
      <c r="AF89" s="132">
        <v>1000000</v>
      </c>
      <c r="AG89" s="132"/>
      <c r="AH89" s="132"/>
      <c r="AI89" s="132">
        <v>1000000</v>
      </c>
      <c r="AJ89" s="132">
        <v>-0.22000000067055225</v>
      </c>
      <c r="AK89" s="132">
        <v>0</v>
      </c>
      <c r="AL89" s="132">
        <v>1000000</v>
      </c>
      <c r="AM89" s="410"/>
      <c r="AN89" s="132">
        <f>AH89-AO89-AP89</f>
        <v>0</v>
      </c>
      <c r="AO89" s="558"/>
      <c r="AP89" s="558"/>
      <c r="AQ89" s="559"/>
      <c r="AR89" s="374"/>
      <c r="AS89" s="374"/>
      <c r="AT89" s="374"/>
      <c r="AU89" s="374"/>
      <c r="AV89" s="374"/>
      <c r="AW89" s="374"/>
      <c r="AX89" s="374"/>
      <c r="AY89" s="374"/>
      <c r="AZ89" s="552"/>
      <c r="BA89" s="552"/>
      <c r="BB89" s="552"/>
      <c r="BC89" s="552"/>
      <c r="BD89" s="552"/>
      <c r="BE89" s="552"/>
      <c r="BF89" s="552"/>
      <c r="BG89" s="552"/>
      <c r="BH89" s="135"/>
      <c r="BK89" s="135"/>
      <c r="BL89" s="135"/>
      <c r="BM89" s="135"/>
      <c r="BN89" s="395"/>
      <c r="BO89" s="395"/>
      <c r="BP89" s="395"/>
      <c r="BQ89" s="395"/>
      <c r="BR89" s="395"/>
      <c r="BS89" s="395"/>
      <c r="BT89" s="395"/>
      <c r="BU89" s="395"/>
      <c r="BV89" s="395"/>
    </row>
    <row r="90" spans="1:74" s="553" customFormat="1" ht="31.95" customHeight="1">
      <c r="A90" s="605"/>
      <c r="B90" s="566"/>
      <c r="C90" s="566">
        <f>COUNT(C89)</f>
        <v>1</v>
      </c>
      <c r="D90" s="566"/>
      <c r="E90" s="544" t="s">
        <v>1458</v>
      </c>
      <c r="F90" s="134">
        <f t="shared" ref="F90:S90" si="29">SUM(F89:F89)</f>
        <v>15500000</v>
      </c>
      <c r="G90" s="134">
        <f t="shared" si="29"/>
        <v>15500000</v>
      </c>
      <c r="H90" s="134">
        <f t="shared" si="29"/>
        <v>0</v>
      </c>
      <c r="I90" s="134">
        <f t="shared" si="29"/>
        <v>12200000</v>
      </c>
      <c r="J90" s="134">
        <f t="shared" si="29"/>
        <v>10671633.779999999</v>
      </c>
      <c r="K90" s="134">
        <f t="shared" si="29"/>
        <v>0</v>
      </c>
      <c r="L90" s="134">
        <f t="shared" si="29"/>
        <v>0</v>
      </c>
      <c r="M90" s="134">
        <f t="shared" si="29"/>
        <v>0</v>
      </c>
      <c r="N90" s="134">
        <f t="shared" si="29"/>
        <v>10671633.779999999</v>
      </c>
      <c r="O90" s="134">
        <f t="shared" si="29"/>
        <v>4178366</v>
      </c>
      <c r="P90" s="134">
        <f t="shared" si="29"/>
        <v>650000.22000000067</v>
      </c>
      <c r="Q90" s="134">
        <f t="shared" si="29"/>
        <v>1528366.2200000007</v>
      </c>
      <c r="R90" s="134">
        <f t="shared" si="29"/>
        <v>2649999.7799999993</v>
      </c>
      <c r="S90" s="134">
        <f t="shared" si="29"/>
        <v>1650000</v>
      </c>
      <c r="T90" s="134">
        <v>999999.77999999933</v>
      </c>
      <c r="U90" s="134">
        <v>-0.22000000067055225</v>
      </c>
      <c r="V90" s="134">
        <v>1000000</v>
      </c>
      <c r="W90" s="134">
        <v>0</v>
      </c>
      <c r="X90" s="134"/>
      <c r="Y90" s="134">
        <v>0</v>
      </c>
      <c r="Z90" s="134">
        <v>0</v>
      </c>
      <c r="AA90" s="134">
        <v>0</v>
      </c>
      <c r="AB90" s="134">
        <v>0</v>
      </c>
      <c r="AC90" s="134">
        <v>0</v>
      </c>
      <c r="AD90" s="134">
        <v>0</v>
      </c>
      <c r="AE90" s="134">
        <v>0</v>
      </c>
      <c r="AF90" s="134">
        <v>1000000</v>
      </c>
      <c r="AG90" s="134">
        <v>0</v>
      </c>
      <c r="AH90" s="134">
        <v>0</v>
      </c>
      <c r="AI90" s="134">
        <v>1000000</v>
      </c>
      <c r="AJ90" s="134">
        <v>-0.22000000067055225</v>
      </c>
      <c r="AK90" s="134">
        <v>0</v>
      </c>
      <c r="AL90" s="134">
        <v>1000000</v>
      </c>
      <c r="AM90" s="134">
        <v>0</v>
      </c>
      <c r="AN90" s="134">
        <f t="shared" ref="AN90:AP90" si="30">SUM(AN89:AN89)</f>
        <v>0</v>
      </c>
      <c r="AO90" s="134">
        <f t="shared" si="30"/>
        <v>0</v>
      </c>
      <c r="AP90" s="134">
        <f t="shared" si="30"/>
        <v>0</v>
      </c>
      <c r="AQ90" s="374"/>
      <c r="AR90" s="374"/>
      <c r="AS90" s="374"/>
      <c r="AT90" s="374"/>
      <c r="AU90" s="374"/>
      <c r="AV90" s="374"/>
      <c r="AW90" s="374"/>
      <c r="AX90" s="374"/>
      <c r="AY90" s="552"/>
      <c r="AZ90" s="552"/>
      <c r="BA90" s="552"/>
      <c r="BB90" s="552"/>
      <c r="BC90" s="552"/>
      <c r="BD90" s="552"/>
      <c r="BE90" s="552"/>
      <c r="BF90" s="552"/>
      <c r="BG90" s="135"/>
      <c r="BJ90" s="135"/>
      <c r="BK90" s="135"/>
      <c r="BL90" s="135"/>
      <c r="BM90" s="395"/>
      <c r="BN90" s="395"/>
      <c r="BO90" s="395"/>
      <c r="BP90" s="395"/>
      <c r="BQ90" s="395"/>
      <c r="BR90" s="395"/>
      <c r="BS90" s="395"/>
      <c r="BT90" s="395"/>
      <c r="BU90" s="395"/>
    </row>
    <row r="91" spans="1:74" s="553" customFormat="1" ht="31.95" customHeight="1">
      <c r="A91" s="605"/>
      <c r="B91" s="566"/>
      <c r="C91" s="566"/>
      <c r="D91" s="566"/>
      <c r="E91" s="54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556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374"/>
      <c r="AR91" s="374"/>
      <c r="AS91" s="374"/>
      <c r="AT91" s="374"/>
      <c r="AU91" s="374"/>
      <c r="AV91" s="374"/>
      <c r="AW91" s="374"/>
      <c r="AX91" s="374"/>
      <c r="AY91" s="552"/>
      <c r="AZ91" s="552"/>
      <c r="BA91" s="552"/>
      <c r="BB91" s="552"/>
      <c r="BC91" s="552"/>
      <c r="BD91" s="552"/>
      <c r="BE91" s="552"/>
      <c r="BF91" s="552"/>
      <c r="BG91" s="135"/>
      <c r="BJ91" s="135"/>
      <c r="BK91" s="135"/>
      <c r="BL91" s="135"/>
      <c r="BM91" s="395"/>
      <c r="BN91" s="395"/>
      <c r="BO91" s="395"/>
      <c r="BP91" s="395"/>
      <c r="BQ91" s="395"/>
      <c r="BR91" s="395"/>
      <c r="BS91" s="395"/>
      <c r="BT91" s="395"/>
      <c r="BU91" s="395"/>
    </row>
    <row r="92" spans="1:74" s="553" customFormat="1" ht="31.95" hidden="1" customHeight="1">
      <c r="A92" s="604"/>
      <c r="B92" s="549"/>
      <c r="C92" s="549"/>
      <c r="D92" s="549"/>
      <c r="E92" s="544" t="s">
        <v>781</v>
      </c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549"/>
      <c r="X92" s="542"/>
      <c r="Y92" s="549"/>
      <c r="Z92" s="549"/>
      <c r="AA92" s="549"/>
      <c r="AB92" s="549"/>
      <c r="AC92" s="549"/>
      <c r="AD92" s="549"/>
      <c r="AE92" s="549"/>
      <c r="AF92" s="549"/>
      <c r="AG92" s="549"/>
      <c r="AH92" s="549"/>
      <c r="AI92" s="549"/>
      <c r="AJ92" s="549"/>
      <c r="AK92" s="132">
        <v>0</v>
      </c>
      <c r="AL92" s="558"/>
      <c r="AM92" s="558"/>
      <c r="AN92" s="132">
        <f>AH92-AO92-AP92</f>
        <v>0</v>
      </c>
      <c r="AO92" s="549"/>
      <c r="AP92" s="549"/>
      <c r="AQ92" s="374"/>
      <c r="AR92" s="374"/>
      <c r="AS92" s="374"/>
      <c r="AT92" s="374"/>
      <c r="AU92" s="374"/>
      <c r="AV92" s="374"/>
      <c r="AW92" s="374"/>
      <c r="AX92" s="374"/>
      <c r="AY92" s="552"/>
      <c r="AZ92" s="552"/>
      <c r="BA92" s="552"/>
      <c r="BB92" s="552"/>
      <c r="BC92" s="552"/>
      <c r="BD92" s="552"/>
      <c r="BE92" s="552"/>
      <c r="BF92" s="552"/>
      <c r="BG92" s="135"/>
      <c r="BJ92" s="135"/>
      <c r="BK92" s="135"/>
      <c r="BL92" s="135"/>
      <c r="BM92" s="395"/>
      <c r="BN92" s="395"/>
      <c r="BO92" s="395"/>
      <c r="BP92" s="395"/>
      <c r="BQ92" s="395"/>
      <c r="BR92" s="395"/>
      <c r="BS92" s="395"/>
      <c r="BT92" s="395"/>
      <c r="BU92" s="395"/>
    </row>
    <row r="93" spans="1:74" s="553" customFormat="1" ht="31.95" hidden="1" customHeight="1">
      <c r="A93" s="398"/>
      <c r="B93" s="541"/>
      <c r="C93" s="549"/>
      <c r="D93" s="549"/>
      <c r="E93" s="550"/>
      <c r="F93" s="132"/>
      <c r="G93" s="132"/>
      <c r="H93" s="132">
        <f>F93-G93</f>
        <v>0</v>
      </c>
      <c r="I93" s="132"/>
      <c r="J93" s="132"/>
      <c r="K93" s="132"/>
      <c r="L93" s="132"/>
      <c r="M93" s="132">
        <f>SUM(K93:L93)</f>
        <v>0</v>
      </c>
      <c r="N93" s="132">
        <f>M93+J93</f>
        <v>0</v>
      </c>
      <c r="O93" s="132"/>
      <c r="P93" s="132">
        <f>F93-N93-O93</f>
        <v>0</v>
      </c>
      <c r="Q93" s="132">
        <f>I93-N93</f>
        <v>0</v>
      </c>
      <c r="R93" s="132">
        <f>O93-Q93</f>
        <v>0</v>
      </c>
      <c r="S93" s="132"/>
      <c r="T93" s="132">
        <v>0</v>
      </c>
      <c r="U93" s="132">
        <v>0</v>
      </c>
      <c r="V93" s="132"/>
      <c r="W93" s="132"/>
      <c r="X93" s="551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>
        <v>0</v>
      </c>
      <c r="AJ93" s="132">
        <v>0</v>
      </c>
      <c r="AK93" s="558"/>
      <c r="AL93" s="558"/>
      <c r="AM93" s="132">
        <v>0</v>
      </c>
      <c r="AN93" s="132">
        <f>AK93-AO93-AP93</f>
        <v>0</v>
      </c>
      <c r="AO93" s="132"/>
      <c r="AP93" s="132"/>
      <c r="AQ93" s="374"/>
      <c r="AR93" s="374"/>
      <c r="AS93" s="374"/>
      <c r="AT93" s="374"/>
      <c r="AU93" s="374"/>
      <c r="AV93" s="374"/>
      <c r="AW93" s="374"/>
      <c r="AX93" s="374"/>
      <c r="AY93" s="552"/>
      <c r="AZ93" s="552"/>
      <c r="BA93" s="552"/>
      <c r="BB93" s="552"/>
      <c r="BC93" s="552"/>
      <c r="BD93" s="552"/>
      <c r="BE93" s="552"/>
      <c r="BF93" s="552"/>
      <c r="BG93" s="135"/>
      <c r="BJ93" s="135"/>
      <c r="BK93" s="135"/>
      <c r="BL93" s="135"/>
      <c r="BM93" s="395"/>
      <c r="BN93" s="395"/>
      <c r="BO93" s="395"/>
      <c r="BP93" s="395"/>
      <c r="BQ93" s="395"/>
      <c r="BR93" s="395"/>
      <c r="BS93" s="395"/>
      <c r="BT93" s="395"/>
      <c r="BU93" s="395"/>
    </row>
    <row r="94" spans="1:74" s="553" customFormat="1" ht="31.95" hidden="1" customHeight="1">
      <c r="A94" s="605"/>
      <c r="B94" s="566"/>
      <c r="C94" s="566">
        <f>COUNT(#REF!)</f>
        <v>0</v>
      </c>
      <c r="D94" s="566"/>
      <c r="E94" s="544" t="s">
        <v>782</v>
      </c>
      <c r="F94" s="134">
        <f>SUM(F93)</f>
        <v>0</v>
      </c>
      <c r="G94" s="134">
        <f t="shared" ref="G94:AP94" si="31">SUM(G93)</f>
        <v>0</v>
      </c>
      <c r="H94" s="134">
        <f t="shared" si="31"/>
        <v>0</v>
      </c>
      <c r="I94" s="134">
        <f t="shared" si="31"/>
        <v>0</v>
      </c>
      <c r="J94" s="134">
        <f t="shared" si="31"/>
        <v>0</v>
      </c>
      <c r="K94" s="134">
        <f t="shared" si="31"/>
        <v>0</v>
      </c>
      <c r="L94" s="134">
        <f t="shared" si="31"/>
        <v>0</v>
      </c>
      <c r="M94" s="134">
        <f t="shared" si="31"/>
        <v>0</v>
      </c>
      <c r="N94" s="134">
        <f t="shared" si="31"/>
        <v>0</v>
      </c>
      <c r="O94" s="134">
        <f t="shared" si="31"/>
        <v>0</v>
      </c>
      <c r="P94" s="134">
        <f t="shared" si="31"/>
        <v>0</v>
      </c>
      <c r="Q94" s="134">
        <f t="shared" si="31"/>
        <v>0</v>
      </c>
      <c r="R94" s="134">
        <f t="shared" si="31"/>
        <v>0</v>
      </c>
      <c r="S94" s="134">
        <f t="shared" si="31"/>
        <v>0</v>
      </c>
      <c r="T94" s="134">
        <v>0</v>
      </c>
      <c r="U94" s="134">
        <v>0</v>
      </c>
      <c r="V94" s="134">
        <v>0</v>
      </c>
      <c r="W94" s="134">
        <v>0</v>
      </c>
      <c r="X94" s="134"/>
      <c r="Y94" s="134">
        <v>0</v>
      </c>
      <c r="Z94" s="134">
        <v>0</v>
      </c>
      <c r="AA94" s="134">
        <v>0</v>
      </c>
      <c r="AB94" s="134"/>
      <c r="AC94" s="134"/>
      <c r="AD94" s="134"/>
      <c r="AE94" s="134"/>
      <c r="AF94" s="134"/>
      <c r="AG94" s="134"/>
      <c r="AH94" s="134"/>
      <c r="AI94" s="134">
        <v>0</v>
      </c>
      <c r="AJ94" s="134">
        <v>0</v>
      </c>
      <c r="AK94" s="134">
        <v>0</v>
      </c>
      <c r="AL94" s="134">
        <v>0</v>
      </c>
      <c r="AM94" s="134">
        <v>0</v>
      </c>
      <c r="AN94" s="134">
        <f t="shared" si="31"/>
        <v>0</v>
      </c>
      <c r="AO94" s="134">
        <f t="shared" si="31"/>
        <v>0</v>
      </c>
      <c r="AP94" s="134">
        <f t="shared" si="31"/>
        <v>0</v>
      </c>
      <c r="AQ94" s="374"/>
      <c r="AR94" s="374"/>
      <c r="AS94" s="374"/>
      <c r="AT94" s="374"/>
      <c r="AU94" s="374"/>
      <c r="AV94" s="374"/>
      <c r="AW94" s="374"/>
      <c r="AX94" s="374"/>
      <c r="AY94" s="552"/>
      <c r="AZ94" s="552"/>
      <c r="BA94" s="552"/>
      <c r="BB94" s="552"/>
      <c r="BC94" s="552"/>
      <c r="BD94" s="552"/>
      <c r="BE94" s="552"/>
      <c r="BF94" s="552"/>
      <c r="BG94" s="135"/>
      <c r="BJ94" s="135"/>
      <c r="BK94" s="135"/>
      <c r="BL94" s="135"/>
      <c r="BM94" s="395"/>
      <c r="BN94" s="395"/>
      <c r="BO94" s="395"/>
      <c r="BP94" s="395"/>
      <c r="BQ94" s="395"/>
      <c r="BR94" s="395"/>
      <c r="BS94" s="395"/>
      <c r="BT94" s="395"/>
      <c r="BU94" s="395"/>
    </row>
    <row r="95" spans="1:74" s="553" customFormat="1" ht="31.95" hidden="1" customHeight="1">
      <c r="A95" s="605"/>
      <c r="B95" s="566"/>
      <c r="C95" s="566"/>
      <c r="D95" s="566"/>
      <c r="E95" s="54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556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374"/>
      <c r="AR95" s="374"/>
      <c r="AS95" s="374"/>
      <c r="AT95" s="374"/>
      <c r="AU95" s="374"/>
      <c r="AV95" s="374"/>
      <c r="AW95" s="374"/>
      <c r="AX95" s="374"/>
      <c r="AY95" s="552"/>
      <c r="AZ95" s="552"/>
      <c r="BA95" s="552"/>
      <c r="BB95" s="552"/>
      <c r="BC95" s="552"/>
      <c r="BD95" s="552"/>
      <c r="BE95" s="552"/>
      <c r="BF95" s="552"/>
      <c r="BG95" s="135"/>
      <c r="BJ95" s="135"/>
      <c r="BK95" s="135"/>
      <c r="BL95" s="135"/>
      <c r="BM95" s="395"/>
      <c r="BN95" s="395"/>
      <c r="BO95" s="395"/>
      <c r="BP95" s="395"/>
      <c r="BQ95" s="395"/>
      <c r="BR95" s="395"/>
      <c r="BS95" s="395"/>
      <c r="BT95" s="395"/>
      <c r="BU95" s="395"/>
    </row>
    <row r="96" spans="1:74" s="553" customFormat="1" ht="31.95" customHeight="1">
      <c r="A96" s="398"/>
      <c r="B96" s="549"/>
      <c r="C96" s="549"/>
      <c r="D96" s="549"/>
      <c r="E96" s="544" t="s">
        <v>213</v>
      </c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549"/>
      <c r="X96" s="542"/>
      <c r="Y96" s="549"/>
      <c r="Z96" s="549"/>
      <c r="AA96" s="549"/>
      <c r="AB96" s="549"/>
      <c r="AC96" s="549"/>
      <c r="AD96" s="549"/>
      <c r="AE96" s="549"/>
      <c r="AF96" s="549"/>
      <c r="AG96" s="549"/>
      <c r="AH96" s="549"/>
      <c r="AI96" s="549"/>
      <c r="AJ96" s="549"/>
      <c r="AK96" s="549"/>
      <c r="AL96" s="549"/>
      <c r="AM96" s="549"/>
      <c r="AN96" s="549"/>
      <c r="AO96" s="549"/>
      <c r="AP96" s="549"/>
      <c r="AQ96" s="374"/>
      <c r="AR96" s="374"/>
      <c r="AS96" s="374"/>
      <c r="AT96" s="374"/>
      <c r="AU96" s="374"/>
      <c r="AV96" s="374"/>
      <c r="AW96" s="374"/>
      <c r="AX96" s="374"/>
      <c r="AY96" s="552"/>
      <c r="AZ96" s="552"/>
      <c r="BA96" s="552"/>
      <c r="BB96" s="552"/>
      <c r="BC96" s="552"/>
      <c r="BD96" s="552"/>
      <c r="BE96" s="552"/>
      <c r="BF96" s="552"/>
      <c r="BG96" s="135"/>
      <c r="BJ96" s="135"/>
      <c r="BK96" s="135"/>
      <c r="BL96" s="135"/>
      <c r="BM96" s="395"/>
      <c r="BN96" s="395"/>
      <c r="BO96" s="395"/>
      <c r="BP96" s="395"/>
      <c r="BQ96" s="395"/>
      <c r="BR96" s="395"/>
      <c r="BS96" s="395"/>
      <c r="BT96" s="395"/>
      <c r="BU96" s="395"/>
    </row>
    <row r="97" spans="1:73" s="553" customFormat="1" ht="31.95" customHeight="1">
      <c r="A97" s="398" t="s">
        <v>1086</v>
      </c>
      <c r="B97" s="541" t="s">
        <v>1087</v>
      </c>
      <c r="C97" s="549">
        <v>69</v>
      </c>
      <c r="D97" s="549">
        <v>1130</v>
      </c>
      <c r="E97" s="550" t="s">
        <v>32</v>
      </c>
      <c r="F97" s="132">
        <v>16000000</v>
      </c>
      <c r="G97" s="132">
        <v>16000000</v>
      </c>
      <c r="H97" s="132">
        <f>F97-G97</f>
        <v>0</v>
      </c>
      <c r="I97" s="132">
        <v>14281894</v>
      </c>
      <c r="J97" s="132">
        <v>14058544</v>
      </c>
      <c r="K97" s="132"/>
      <c r="L97" s="132"/>
      <c r="M97" s="132">
        <f>SUM(K97:L97)</f>
        <v>0</v>
      </c>
      <c r="N97" s="132">
        <f>M97+J97</f>
        <v>14058544</v>
      </c>
      <c r="O97" s="132">
        <f>723350+500000</f>
        <v>1223350</v>
      </c>
      <c r="P97" s="132">
        <f>F97-N97-O97</f>
        <v>718106</v>
      </c>
      <c r="Q97" s="132">
        <f>I97-N97</f>
        <v>223350</v>
      </c>
      <c r="R97" s="132">
        <f>O97-Q97</f>
        <v>1000000</v>
      </c>
      <c r="S97" s="132">
        <v>300000</v>
      </c>
      <c r="T97" s="132">
        <v>700000</v>
      </c>
      <c r="U97" s="132">
        <v>200000</v>
      </c>
      <c r="V97" s="132">
        <v>500000</v>
      </c>
      <c r="W97" s="132"/>
      <c r="X97" s="551"/>
      <c r="Y97" s="132"/>
      <c r="Z97" s="132"/>
      <c r="AA97" s="132"/>
      <c r="AB97" s="132"/>
      <c r="AC97" s="132"/>
      <c r="AD97" s="132">
        <v>500000</v>
      </c>
      <c r="AE97" s="132"/>
      <c r="AF97" s="132">
        <v>200000</v>
      </c>
      <c r="AG97" s="132"/>
      <c r="AH97" s="132"/>
      <c r="AI97" s="132">
        <v>700000</v>
      </c>
      <c r="AJ97" s="560">
        <v>0</v>
      </c>
      <c r="AK97" s="132">
        <v>200000</v>
      </c>
      <c r="AL97" s="132">
        <v>500000</v>
      </c>
      <c r="AM97" s="410"/>
      <c r="AN97" s="132">
        <f>AH97-AO97-AP97</f>
        <v>0</v>
      </c>
      <c r="AO97" s="132"/>
      <c r="AP97" s="132"/>
      <c r="AQ97" s="374"/>
      <c r="AR97" s="374"/>
      <c r="AS97" s="374"/>
      <c r="AT97" s="374"/>
      <c r="AU97" s="374"/>
      <c r="AV97" s="374"/>
      <c r="AW97" s="374"/>
      <c r="AX97" s="374"/>
      <c r="AY97" s="552"/>
      <c r="AZ97" s="552"/>
      <c r="BA97" s="552"/>
      <c r="BB97" s="552"/>
      <c r="BC97" s="552"/>
      <c r="BD97" s="552"/>
      <c r="BE97" s="552"/>
      <c r="BF97" s="552"/>
      <c r="BG97" s="135"/>
      <c r="BJ97" s="135"/>
      <c r="BK97" s="135"/>
      <c r="BL97" s="135"/>
      <c r="BM97" s="395"/>
      <c r="BN97" s="395"/>
      <c r="BO97" s="395"/>
      <c r="BP97" s="395"/>
      <c r="BQ97" s="395"/>
      <c r="BR97" s="395"/>
      <c r="BS97" s="395"/>
      <c r="BT97" s="395"/>
      <c r="BU97" s="395"/>
    </row>
    <row r="98" spans="1:73" s="553" customFormat="1" ht="31.95" customHeight="1">
      <c r="A98" s="605"/>
      <c r="B98" s="566"/>
      <c r="C98" s="566">
        <f>COUNT(C97)</f>
        <v>1</v>
      </c>
      <c r="D98" s="566"/>
      <c r="E98" s="544" t="s">
        <v>320</v>
      </c>
      <c r="F98" s="134">
        <f>SUM(F97)</f>
        <v>16000000</v>
      </c>
      <c r="G98" s="134">
        <f t="shared" ref="G98:AP98" si="32">SUM(G97)</f>
        <v>16000000</v>
      </c>
      <c r="H98" s="134">
        <f t="shared" si="32"/>
        <v>0</v>
      </c>
      <c r="I98" s="134">
        <f t="shared" si="32"/>
        <v>14281894</v>
      </c>
      <c r="J98" s="134">
        <f t="shared" si="32"/>
        <v>14058544</v>
      </c>
      <c r="K98" s="134">
        <f t="shared" si="32"/>
        <v>0</v>
      </c>
      <c r="L98" s="134">
        <f t="shared" si="32"/>
        <v>0</v>
      </c>
      <c r="M98" s="134">
        <f t="shared" si="32"/>
        <v>0</v>
      </c>
      <c r="N98" s="134">
        <f t="shared" si="32"/>
        <v>14058544</v>
      </c>
      <c r="O98" s="134">
        <f t="shared" si="32"/>
        <v>1223350</v>
      </c>
      <c r="P98" s="134">
        <f t="shared" si="32"/>
        <v>718106</v>
      </c>
      <c r="Q98" s="134">
        <f t="shared" si="32"/>
        <v>223350</v>
      </c>
      <c r="R98" s="134">
        <f t="shared" si="32"/>
        <v>1000000</v>
      </c>
      <c r="S98" s="134">
        <f t="shared" si="32"/>
        <v>300000</v>
      </c>
      <c r="T98" s="134">
        <v>700000</v>
      </c>
      <c r="U98" s="134">
        <v>200000</v>
      </c>
      <c r="V98" s="134">
        <v>500000</v>
      </c>
      <c r="W98" s="134">
        <v>0</v>
      </c>
      <c r="X98" s="551" t="s">
        <v>1154</v>
      </c>
      <c r="Y98" s="134">
        <v>0</v>
      </c>
      <c r="Z98" s="134">
        <v>0</v>
      </c>
      <c r="AA98" s="134">
        <v>0</v>
      </c>
      <c r="AB98" s="134">
        <v>0</v>
      </c>
      <c r="AC98" s="134">
        <v>0</v>
      </c>
      <c r="AD98" s="134">
        <v>500000</v>
      </c>
      <c r="AE98" s="134">
        <v>0</v>
      </c>
      <c r="AF98" s="134">
        <v>200000</v>
      </c>
      <c r="AG98" s="134">
        <v>0</v>
      </c>
      <c r="AH98" s="134">
        <v>0</v>
      </c>
      <c r="AI98" s="134">
        <v>700000</v>
      </c>
      <c r="AJ98" s="134">
        <v>0</v>
      </c>
      <c r="AK98" s="134">
        <v>200000</v>
      </c>
      <c r="AL98" s="134">
        <v>500000</v>
      </c>
      <c r="AM98" s="134">
        <v>0</v>
      </c>
      <c r="AN98" s="134">
        <f t="shared" si="32"/>
        <v>0</v>
      </c>
      <c r="AO98" s="134">
        <f t="shared" si="32"/>
        <v>0</v>
      </c>
      <c r="AP98" s="134">
        <f t="shared" si="32"/>
        <v>0</v>
      </c>
      <c r="AQ98" s="374"/>
      <c r="AR98" s="374"/>
      <c r="AS98" s="374"/>
      <c r="AT98" s="374"/>
      <c r="AU98" s="374"/>
      <c r="AV98" s="374"/>
      <c r="AW98" s="374"/>
      <c r="AX98" s="374"/>
      <c r="AY98" s="552"/>
      <c r="AZ98" s="552"/>
      <c r="BA98" s="552"/>
      <c r="BB98" s="552"/>
      <c r="BC98" s="552"/>
      <c r="BD98" s="552"/>
      <c r="BE98" s="552"/>
      <c r="BF98" s="552"/>
      <c r="BG98" s="135"/>
      <c r="BJ98" s="135"/>
      <c r="BK98" s="135"/>
      <c r="BL98" s="135"/>
      <c r="BM98" s="395"/>
      <c r="BN98" s="395"/>
      <c r="BO98" s="395"/>
      <c r="BP98" s="395"/>
      <c r="BQ98" s="395"/>
      <c r="BR98" s="395"/>
      <c r="BS98" s="395"/>
      <c r="BT98" s="395"/>
      <c r="BU98" s="395"/>
    </row>
    <row r="99" spans="1:73" s="71" customFormat="1" ht="31.95" customHeight="1">
      <c r="A99" s="398"/>
      <c r="B99" s="541"/>
      <c r="C99" s="554"/>
      <c r="D99" s="555"/>
      <c r="E99" s="548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556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84"/>
      <c r="AR99" s="184"/>
      <c r="AS99" s="184"/>
      <c r="AT99" s="184"/>
      <c r="AU99" s="184"/>
      <c r="AV99" s="184"/>
      <c r="AW99" s="184"/>
      <c r="AX99" s="184"/>
      <c r="AY99" s="535"/>
      <c r="AZ99" s="535"/>
      <c r="BA99" s="535"/>
      <c r="BB99" s="535"/>
      <c r="BC99" s="535"/>
      <c r="BD99" s="535"/>
      <c r="BE99" s="535"/>
      <c r="BF99" s="535"/>
      <c r="BG99" s="61"/>
      <c r="BJ99" s="61"/>
      <c r="BK99" s="61"/>
      <c r="BL99" s="61"/>
      <c r="BM99" s="172"/>
      <c r="BN99" s="172"/>
      <c r="BO99" s="172"/>
      <c r="BP99" s="172"/>
      <c r="BQ99" s="172"/>
      <c r="BR99" s="172"/>
      <c r="BS99" s="172"/>
      <c r="BT99" s="172"/>
      <c r="BU99" s="172"/>
    </row>
    <row r="100" spans="1:73" s="568" customFormat="1" ht="31.95" customHeight="1">
      <c r="A100" s="411"/>
      <c r="B100" s="565" t="s">
        <v>412</v>
      </c>
      <c r="C100" s="134">
        <f>C98+C94+C90+C86+C83+C76+C35+C10</f>
        <v>69</v>
      </c>
      <c r="D100" s="566"/>
      <c r="E100" s="567" t="s">
        <v>176</v>
      </c>
      <c r="F100" s="134">
        <f t="shared" ref="F100:S100" si="33">F98+F94+F90+F86+F83+F76+F35+F10</f>
        <v>1342819042</v>
      </c>
      <c r="G100" s="134">
        <f t="shared" si="33"/>
        <v>1297859066</v>
      </c>
      <c r="H100" s="134">
        <f t="shared" si="33"/>
        <v>44959976</v>
      </c>
      <c r="I100" s="134">
        <f t="shared" si="33"/>
        <v>415880785</v>
      </c>
      <c r="J100" s="134">
        <f t="shared" si="33"/>
        <v>360577316.19000006</v>
      </c>
      <c r="K100" s="134">
        <f t="shared" si="33"/>
        <v>0</v>
      </c>
      <c r="L100" s="134">
        <f t="shared" si="33"/>
        <v>21086</v>
      </c>
      <c r="M100" s="134">
        <f t="shared" si="33"/>
        <v>21086</v>
      </c>
      <c r="N100" s="134">
        <f t="shared" si="33"/>
        <v>360598402.19000006</v>
      </c>
      <c r="O100" s="134">
        <f t="shared" si="33"/>
        <v>451760254.14999998</v>
      </c>
      <c r="P100" s="134">
        <f t="shared" si="33"/>
        <v>530460385.65999997</v>
      </c>
      <c r="Q100" s="134">
        <f t="shared" si="33"/>
        <v>55282382.809999987</v>
      </c>
      <c r="R100" s="134">
        <f t="shared" si="33"/>
        <v>396477871.34000003</v>
      </c>
      <c r="S100" s="134">
        <f t="shared" si="33"/>
        <v>322272444</v>
      </c>
      <c r="T100" s="134">
        <v>74205427.340000004</v>
      </c>
      <c r="U100" s="134">
        <v>47240490.340000004</v>
      </c>
      <c r="V100" s="134">
        <v>14080471</v>
      </c>
      <c r="W100" s="134">
        <v>12884466</v>
      </c>
      <c r="X100" s="134"/>
      <c r="Y100" s="134">
        <v>260000</v>
      </c>
      <c r="Z100" s="134">
        <v>4287600</v>
      </c>
      <c r="AA100" s="134">
        <v>3598755</v>
      </c>
      <c r="AB100" s="134">
        <v>13869705</v>
      </c>
      <c r="AC100" s="134">
        <v>19579390</v>
      </c>
      <c r="AD100" s="134">
        <v>20585168</v>
      </c>
      <c r="AE100" s="134">
        <v>0</v>
      </c>
      <c r="AF100" s="134">
        <v>24365000</v>
      </c>
      <c r="AG100" s="134">
        <v>9000553</v>
      </c>
      <c r="AH100" s="134">
        <v>1984423</v>
      </c>
      <c r="AI100" s="134">
        <v>97530594</v>
      </c>
      <c r="AJ100" s="134">
        <v>-23325166.659999996</v>
      </c>
      <c r="AK100" s="134">
        <v>52570489</v>
      </c>
      <c r="AL100" s="134">
        <v>17150471</v>
      </c>
      <c r="AM100" s="134">
        <v>27809634</v>
      </c>
      <c r="AN100" s="134">
        <f t="shared" ref="AN100:AP100" si="34">AN98+AN94+AN90+AN86+AN83+AN76+AN35+AN10</f>
        <v>2000000</v>
      </c>
      <c r="AO100" s="134">
        <f t="shared" si="34"/>
        <v>-1358</v>
      </c>
      <c r="AP100" s="134">
        <f t="shared" si="34"/>
        <v>-14219</v>
      </c>
      <c r="AQ100" s="374"/>
      <c r="AR100" s="374"/>
      <c r="AS100" s="374"/>
      <c r="AT100" s="374"/>
      <c r="AU100" s="374"/>
      <c r="AV100" s="374"/>
      <c r="AW100" s="374"/>
      <c r="AX100" s="374"/>
      <c r="AY100" s="552"/>
      <c r="AZ100" s="552"/>
      <c r="BA100" s="552"/>
      <c r="BB100" s="552"/>
      <c r="BC100" s="552"/>
      <c r="BD100" s="552"/>
      <c r="BE100" s="552"/>
      <c r="BF100" s="552"/>
      <c r="BG100" s="135"/>
      <c r="BJ100" s="135"/>
      <c r="BK100" s="135"/>
      <c r="BL100" s="135"/>
      <c r="BM100" s="395"/>
      <c r="BN100" s="395"/>
      <c r="BO100" s="395"/>
      <c r="BP100" s="395"/>
      <c r="BQ100" s="395"/>
      <c r="BR100" s="395"/>
      <c r="BS100" s="395"/>
      <c r="BT100" s="395"/>
      <c r="BU100" s="395"/>
    </row>
    <row r="101" spans="1:73" s="71" customFormat="1" ht="22.8">
      <c r="A101" s="402"/>
      <c r="B101" s="569"/>
      <c r="C101" s="569"/>
      <c r="D101" s="570"/>
      <c r="E101" s="571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3"/>
      <c r="Y101" s="572"/>
      <c r="Z101" s="572"/>
      <c r="AA101" s="572"/>
      <c r="AB101" s="572"/>
      <c r="AC101" s="572"/>
      <c r="AD101" s="572">
        <f>19915168+670000</f>
        <v>20585168</v>
      </c>
      <c r="AE101" s="572"/>
      <c r="AF101" s="572"/>
      <c r="AG101" s="572">
        <f>SUM(AE100:AG100)</f>
        <v>33365553</v>
      </c>
      <c r="AH101" s="572">
        <f>SUM(AF100:AH100)</f>
        <v>35349976</v>
      </c>
      <c r="AI101" s="572"/>
      <c r="AJ101" s="572"/>
      <c r="AK101" s="572"/>
      <c r="AL101" s="572"/>
      <c r="AM101" s="572"/>
      <c r="AN101" s="572"/>
      <c r="AO101" s="572"/>
      <c r="AP101" s="572"/>
      <c r="AQ101" s="184"/>
      <c r="AR101" s="184"/>
      <c r="AS101" s="184"/>
      <c r="AT101" s="184"/>
      <c r="AU101" s="184"/>
      <c r="AV101" s="184"/>
      <c r="AW101" s="184"/>
      <c r="AX101" s="184"/>
      <c r="AY101" s="535"/>
      <c r="AZ101" s="535"/>
      <c r="BA101" s="535"/>
      <c r="BB101" s="535"/>
      <c r="BC101" s="535"/>
      <c r="BD101" s="535"/>
      <c r="BE101" s="535"/>
      <c r="BF101" s="535"/>
      <c r="BG101" s="61"/>
      <c r="BJ101" s="61"/>
      <c r="BK101" s="61"/>
      <c r="BL101" s="61"/>
      <c r="BM101" s="172"/>
      <c r="BN101" s="172"/>
      <c r="BO101" s="172"/>
      <c r="BP101" s="172"/>
      <c r="BQ101" s="172"/>
      <c r="BR101" s="172"/>
      <c r="BS101" s="172"/>
      <c r="BT101" s="172"/>
      <c r="BU101" s="172"/>
    </row>
    <row r="102" spans="1:73" s="584" customFormat="1" ht="22.8" hidden="1">
      <c r="A102" s="574"/>
      <c r="B102" s="575"/>
      <c r="C102" s="576">
        <f>'[3]ינואר 2022'!C45</f>
        <v>2</v>
      </c>
      <c r="D102" s="577"/>
      <c r="E102" s="578" t="s">
        <v>1155</v>
      </c>
      <c r="F102" s="576">
        <f>'[3]ינואר 2022'!F45</f>
        <v>3850000</v>
      </c>
      <c r="G102" s="576">
        <f>'[3]ינואר 2022'!G45</f>
        <v>90000</v>
      </c>
      <c r="H102" s="576">
        <f>'[3]ינואר 2022'!H45</f>
        <v>3760000</v>
      </c>
      <c r="I102" s="576">
        <f>'[3]ינואר 2022'!I45</f>
        <v>90000</v>
      </c>
      <c r="J102" s="576">
        <f>'[3]ינואר 2022'!J45</f>
        <v>0</v>
      </c>
      <c r="K102" s="576">
        <f>'[3]ינואר 2022'!K45</f>
        <v>0</v>
      </c>
      <c r="L102" s="576">
        <f>'[3]ינואר 2022'!L45</f>
        <v>9276</v>
      </c>
      <c r="M102" s="576">
        <f>'[3]ינואר 2022'!M45</f>
        <v>9276</v>
      </c>
      <c r="N102" s="576">
        <f>'[3]ינואר 2022'!N45</f>
        <v>9276</v>
      </c>
      <c r="O102" s="576">
        <f>'[3]ינואר 2022'!O45</f>
        <v>3840724</v>
      </c>
      <c r="P102" s="576">
        <f>'[3]ינואר 2022'!P45</f>
        <v>0</v>
      </c>
      <c r="Q102" s="576">
        <f>'[3]ינואר 2022'!Q45</f>
        <v>80724</v>
      </c>
      <c r="R102" s="576">
        <f>'[3]ינואר 2022'!R45</f>
        <v>3760000</v>
      </c>
      <c r="S102" s="576">
        <f>'[3]ינואר 2022'!S45</f>
        <v>0</v>
      </c>
      <c r="T102" s="576">
        <f>'[3]ינואר 2022'!T45</f>
        <v>3760000</v>
      </c>
      <c r="U102" s="576">
        <f>'[3]ינואר 2022'!U45</f>
        <v>0</v>
      </c>
      <c r="V102" s="576">
        <f>'[3]ינואר 2022'!V45</f>
        <v>230000</v>
      </c>
      <c r="W102" s="576">
        <f>'[3]ינואר 2022'!W45</f>
        <v>3530000</v>
      </c>
      <c r="X102" s="579"/>
      <c r="Y102" s="580"/>
      <c r="Z102" s="580"/>
      <c r="AA102" s="580"/>
      <c r="AB102" s="580"/>
      <c r="AC102" s="580"/>
      <c r="AD102" s="580"/>
      <c r="AE102" s="580"/>
      <c r="AF102" s="580"/>
      <c r="AG102" s="580"/>
      <c r="AH102" s="580"/>
      <c r="AI102" s="580"/>
      <c r="AJ102" s="580"/>
      <c r="AK102" s="580"/>
      <c r="AL102" s="580"/>
      <c r="AM102" s="580"/>
      <c r="AN102" s="580"/>
      <c r="AO102" s="580"/>
      <c r="AP102" s="580"/>
      <c r="AQ102" s="406"/>
      <c r="AR102" s="406"/>
      <c r="AS102" s="406"/>
      <c r="AT102" s="406"/>
      <c r="AU102" s="406"/>
      <c r="AV102" s="406"/>
      <c r="AW102" s="406"/>
      <c r="AX102" s="406"/>
      <c r="AY102" s="581"/>
      <c r="AZ102" s="581"/>
      <c r="BA102" s="581"/>
      <c r="BB102" s="581"/>
      <c r="BC102" s="581"/>
      <c r="BD102" s="581"/>
      <c r="BE102" s="581"/>
      <c r="BF102" s="581"/>
      <c r="BG102" s="582"/>
      <c r="BH102" s="569"/>
      <c r="BI102" s="582"/>
      <c r="BJ102" s="582"/>
      <c r="BK102" s="582"/>
      <c r="BL102" s="582"/>
      <c r="BM102" s="583"/>
      <c r="BN102" s="583"/>
      <c r="BO102" s="583"/>
      <c r="BP102" s="583"/>
      <c r="BQ102" s="583"/>
      <c r="BR102" s="583"/>
      <c r="BS102" s="583"/>
      <c r="BT102" s="583"/>
      <c r="BU102" s="583"/>
    </row>
    <row r="103" spans="1:73" ht="22.8" hidden="1">
      <c r="A103" s="172"/>
      <c r="B103" s="61"/>
      <c r="C103" s="585">
        <f>'[3]פברואר 2022 '!C45</f>
        <v>2</v>
      </c>
      <c r="D103" s="533"/>
      <c r="E103" s="578" t="s">
        <v>1156</v>
      </c>
      <c r="F103" s="585">
        <f>'[3]פברואר 2022 '!F45</f>
        <v>16460000</v>
      </c>
      <c r="G103" s="585">
        <f>'[3]פברואר 2022 '!G45</f>
        <v>16000000</v>
      </c>
      <c r="H103" s="585">
        <f>'[3]פברואר 2022 '!H45</f>
        <v>460000</v>
      </c>
      <c r="I103" s="585">
        <f>'[3]פברואר 2022 '!I45</f>
        <v>450000</v>
      </c>
      <c r="J103" s="585">
        <f>'[3]פברואר 2022 '!J45</f>
        <v>118159</v>
      </c>
      <c r="K103" s="585">
        <f>'[3]פברואר 2022 '!K45</f>
        <v>0</v>
      </c>
      <c r="L103" s="585">
        <f>'[3]פברואר 2022 '!L45</f>
        <v>11810</v>
      </c>
      <c r="M103" s="585">
        <f>'[3]פברואר 2022 '!M45</f>
        <v>11810</v>
      </c>
      <c r="N103" s="585">
        <f>'[3]פברואר 2022 '!N45</f>
        <v>129969</v>
      </c>
      <c r="O103" s="585">
        <f>'[3]פברואר 2022 '!O45</f>
        <v>8107631</v>
      </c>
      <c r="P103" s="585">
        <f>'[3]פברואר 2022 '!P45</f>
        <v>8222400</v>
      </c>
      <c r="Q103" s="585">
        <f>'[3]פברואר 2022 '!Q45</f>
        <v>320031</v>
      </c>
      <c r="R103" s="585">
        <f>'[3]פברואר 2022 '!R45</f>
        <v>7787600</v>
      </c>
      <c r="S103" s="585">
        <f>'[3]פברואר 2022 '!S45</f>
        <v>7000000</v>
      </c>
      <c r="T103" s="585">
        <f>'[3]פברואר 2022 '!T45</f>
        <v>787600</v>
      </c>
      <c r="U103" s="585">
        <f>'[3]פברואר 2022 '!U45</f>
        <v>240000</v>
      </c>
      <c r="V103" s="585">
        <f>'[3]פברואר 2022 '!V45</f>
        <v>220000</v>
      </c>
      <c r="W103" s="585">
        <f>'[3]פברואר 2022 '!W45</f>
        <v>327600</v>
      </c>
      <c r="X103" s="534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184"/>
      <c r="AR103" s="184"/>
      <c r="AS103" s="184"/>
      <c r="AT103" s="184"/>
      <c r="AU103" s="184"/>
      <c r="AV103" s="184"/>
      <c r="AW103" s="184"/>
      <c r="AX103" s="184"/>
      <c r="AY103" s="535"/>
      <c r="AZ103" s="535"/>
      <c r="BA103" s="535"/>
      <c r="BB103" s="535"/>
      <c r="BC103" s="535"/>
      <c r="BD103" s="535"/>
      <c r="BE103" s="535"/>
      <c r="BF103" s="535"/>
      <c r="BG103" s="61"/>
      <c r="BH103" s="71"/>
      <c r="BI103" s="61"/>
      <c r="BJ103" s="61"/>
      <c r="BK103" s="61"/>
      <c r="BL103" s="61"/>
      <c r="BM103" s="172"/>
      <c r="BN103" s="172"/>
      <c r="BO103" s="172"/>
      <c r="BP103" s="172"/>
      <c r="BQ103" s="172"/>
      <c r="BR103" s="172"/>
      <c r="BS103" s="172"/>
      <c r="BT103" s="172"/>
      <c r="BU103" s="172"/>
    </row>
    <row r="104" spans="1:73" ht="22.8" hidden="1">
      <c r="A104" s="172"/>
      <c r="B104" s="61"/>
      <c r="C104" s="585">
        <f>'[3]מרץ 2022  '!C52</f>
        <v>10</v>
      </c>
      <c r="D104" s="533"/>
      <c r="E104" s="578" t="s">
        <v>1157</v>
      </c>
      <c r="F104" s="585">
        <f>'[3]מרץ 2022  '!F52</f>
        <v>138968521</v>
      </c>
      <c r="G104" s="585">
        <f>'[3]מרץ 2022  '!G52</f>
        <v>135698521</v>
      </c>
      <c r="H104" s="585">
        <f>'[3]מרץ 2022  '!H52</f>
        <v>3270000</v>
      </c>
      <c r="I104" s="585">
        <f>'[3]מרץ 2022  '!I52</f>
        <v>33922857</v>
      </c>
      <c r="J104" s="585">
        <f>'[3]מרץ 2022  '!J52</f>
        <v>19864513.630000003</v>
      </c>
      <c r="K104" s="585">
        <f>'[3]מרץ 2022  '!K52</f>
        <v>0</v>
      </c>
      <c r="L104" s="585">
        <f>'[3]מרץ 2022  '!L52</f>
        <v>0</v>
      </c>
      <c r="M104" s="585">
        <f>'[3]מרץ 2022  '!M52</f>
        <v>0</v>
      </c>
      <c r="N104" s="585">
        <f>'[3]מרץ 2022  '!N52</f>
        <v>19864513.630000003</v>
      </c>
      <c r="O104" s="585">
        <f>'[3]מרץ 2022  '!O52</f>
        <v>27582762.370000001</v>
      </c>
      <c r="P104" s="585">
        <f>'[3]מרץ 2022  '!P52</f>
        <v>91521245</v>
      </c>
      <c r="Q104" s="585">
        <f>'[3]מרץ 2022  '!Q52</f>
        <v>14058343.369999999</v>
      </c>
      <c r="R104" s="585">
        <f>'[3]מרץ 2022  '!R52</f>
        <v>13524419.000000002</v>
      </c>
      <c r="S104" s="585">
        <f>'[3]מרץ 2022  '!S52</f>
        <v>10925664</v>
      </c>
      <c r="T104" s="585">
        <f>'[3]מרץ 2022  '!T52</f>
        <v>2598755.0000000009</v>
      </c>
      <c r="U104" s="585">
        <f>'[3]מרץ 2022  '!U52</f>
        <v>351812.00000000116</v>
      </c>
      <c r="V104" s="585">
        <f>'[3]מרץ 2022  '!V52</f>
        <v>30000</v>
      </c>
      <c r="W104" s="585">
        <f>'[3]מרץ 2022  '!W52</f>
        <v>2216943</v>
      </c>
      <c r="X104" s="534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184"/>
      <c r="AR104" s="184"/>
      <c r="AS104" s="184"/>
      <c r="AT104" s="184"/>
      <c r="AU104" s="184"/>
      <c r="AV104" s="184"/>
      <c r="AW104" s="184"/>
      <c r="AX104" s="184"/>
      <c r="AY104" s="535"/>
      <c r="AZ104" s="535"/>
      <c r="BA104" s="535"/>
      <c r="BB104" s="535"/>
      <c r="BC104" s="535"/>
      <c r="BD104" s="535"/>
      <c r="BE104" s="535"/>
      <c r="BF104" s="535"/>
      <c r="BG104" s="61"/>
      <c r="BH104" s="71"/>
      <c r="BI104" s="61"/>
      <c r="BJ104" s="61"/>
      <c r="BK104" s="61"/>
      <c r="BL104" s="61"/>
      <c r="BM104" s="172"/>
      <c r="BN104" s="172"/>
      <c r="BO104" s="172"/>
      <c r="BP104" s="172"/>
      <c r="BQ104" s="172"/>
      <c r="BR104" s="172"/>
      <c r="BS104" s="172"/>
      <c r="BT104" s="172"/>
      <c r="BU104" s="172"/>
    </row>
    <row r="105" spans="1:73" ht="22.8" hidden="1">
      <c r="A105" s="172"/>
      <c r="B105" s="61"/>
      <c r="C105" s="585">
        <f>'[3]וע. 4.2022 סופי'!C53</f>
        <v>8</v>
      </c>
      <c r="D105" s="533"/>
      <c r="E105" s="578" t="s">
        <v>1158</v>
      </c>
      <c r="F105" s="585">
        <f>'[3]וע. 4.2022 סופי'!F53</f>
        <v>44781000</v>
      </c>
      <c r="G105" s="585">
        <f>'[3]וע. 4.2022 סופי'!G53</f>
        <v>32181000</v>
      </c>
      <c r="H105" s="585">
        <f>'[3]וע. 4.2022 סופי'!H53</f>
        <v>12600000</v>
      </c>
      <c r="I105" s="585">
        <f>'[3]וע. 4.2022 סופי'!I53</f>
        <v>8214000</v>
      </c>
      <c r="J105" s="585">
        <f>'[3]וע. 4.2022 סופי'!J53</f>
        <v>7741479</v>
      </c>
      <c r="K105" s="585">
        <f>'[3]וע. 4.2022 סופי'!K53</f>
        <v>0</v>
      </c>
      <c r="L105" s="585">
        <f>'[3]וע. 4.2022 סופי'!L53</f>
        <v>0</v>
      </c>
      <c r="M105" s="585">
        <f>'[3]וע. 4.2022 סופי'!M53</f>
        <v>0</v>
      </c>
      <c r="N105" s="585">
        <f>'[3]וע. 4.2022 סופי'!N53</f>
        <v>7741479</v>
      </c>
      <c r="O105" s="585">
        <f>'[3]וע. 4.2022 סופי'!O53</f>
        <v>22642226</v>
      </c>
      <c r="P105" s="585">
        <f>'[3]וע. 4.2022 סופי'!P53</f>
        <v>14397295</v>
      </c>
      <c r="Q105" s="585">
        <f>'[3]וע. 4.2022 סופי'!Q53</f>
        <v>472521</v>
      </c>
      <c r="R105" s="585">
        <f>'[3]וע. 4.2022 סופי'!R53</f>
        <v>22169705</v>
      </c>
      <c r="S105" s="585">
        <f>'[3]וע. 4.2022 סופי'!S53</f>
        <v>8700000</v>
      </c>
      <c r="T105" s="585">
        <f>'[3]וע. 4.2022 סופי'!T53</f>
        <v>13469705</v>
      </c>
      <c r="U105" s="585">
        <f>'[3]וע. 4.2022 סופי'!U53</f>
        <v>4607448</v>
      </c>
      <c r="V105" s="585">
        <f>'[3]וע. 4.2022 סופי'!V53</f>
        <v>8250000</v>
      </c>
      <c r="W105" s="585">
        <f>'[3]וע. 4.2022 סופי'!W53</f>
        <v>612257</v>
      </c>
      <c r="X105" s="534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184"/>
      <c r="AR105" s="184"/>
      <c r="AS105" s="184"/>
      <c r="AT105" s="184"/>
      <c r="AU105" s="184"/>
      <c r="AV105" s="184"/>
      <c r="AW105" s="184"/>
      <c r="AX105" s="184"/>
      <c r="AY105" s="535"/>
      <c r="AZ105" s="535"/>
      <c r="BA105" s="535"/>
      <c r="BB105" s="535"/>
      <c r="BC105" s="535"/>
      <c r="BD105" s="535"/>
      <c r="BE105" s="535"/>
      <c r="BF105" s="535"/>
      <c r="BG105" s="61"/>
      <c r="BH105" s="71"/>
      <c r="BI105" s="61"/>
      <c r="BJ105" s="61"/>
      <c r="BK105" s="61"/>
      <c r="BL105" s="61"/>
      <c r="BM105" s="172"/>
      <c r="BN105" s="172"/>
      <c r="BO105" s="172"/>
      <c r="BP105" s="172"/>
      <c r="BQ105" s="172"/>
      <c r="BR105" s="172"/>
      <c r="BS105" s="172"/>
      <c r="BT105" s="172"/>
      <c r="BU105" s="172"/>
    </row>
    <row r="106" spans="1:73" ht="22.8" hidden="1">
      <c r="A106" s="172"/>
      <c r="B106" s="61"/>
      <c r="C106" s="585">
        <f>'[3]וע. 5.2022  '!C49</f>
        <v>9</v>
      </c>
      <c r="D106" s="533"/>
      <c r="E106" s="578" t="s">
        <v>1159</v>
      </c>
      <c r="F106" s="585">
        <f>'[3]וע. 5.2022-מעודכן'!F49</f>
        <v>174270000</v>
      </c>
      <c r="G106" s="585">
        <f>'[3]וע. 5.2022-מעודכן'!G49</f>
        <v>161200000</v>
      </c>
      <c r="H106" s="585">
        <f>'[3]וע. 5.2022-מעודכן'!H49</f>
        <v>13070000</v>
      </c>
      <c r="I106" s="585">
        <f>'[3]וע. 5.2022-מעודכן'!I49</f>
        <v>22081894</v>
      </c>
      <c r="J106" s="585">
        <f>'[3]וע. 5.2022-מעודכן'!J49</f>
        <v>17795670</v>
      </c>
      <c r="K106" s="585">
        <f>'[3]וע. 5.2022-מעודכן'!K49</f>
        <v>0</v>
      </c>
      <c r="L106" s="585">
        <f>'[3]וע. 5.2022-מעודכן'!L49</f>
        <v>0</v>
      </c>
      <c r="M106" s="585">
        <f>'[3]וע. 5.2022-מעודכן'!M49</f>
        <v>0</v>
      </c>
      <c r="N106" s="585">
        <f>'[3]וע. 5.2022-מעודכן'!N49</f>
        <v>17795670</v>
      </c>
      <c r="O106" s="585">
        <f>'[3]וע. 5.2022-מעודכן'!O49</f>
        <v>46225841</v>
      </c>
      <c r="P106" s="585">
        <f>'[3]וע. 5.2022-מעודכן'!P49</f>
        <v>110248489</v>
      </c>
      <c r="Q106" s="585">
        <f>'[3]וע. 5.2022-מעודכן'!Q49</f>
        <v>4286224</v>
      </c>
      <c r="R106" s="585">
        <f>'[3]וע. 5.2022-מעודכן'!R49</f>
        <v>41939617</v>
      </c>
      <c r="S106" s="585">
        <f>'[3]וע. 5.2022-מעודכן'!S49</f>
        <v>19190227</v>
      </c>
      <c r="T106" s="585">
        <f>'[3]וע. 5.2022-מעודכן'!T49</f>
        <v>22749390</v>
      </c>
      <c r="U106" s="585">
        <f>'[3]וע. 5.2022-מעודכן'!U49</f>
        <v>138216</v>
      </c>
      <c r="V106" s="585">
        <f>'[3]וע. 5.2022-מעודכן'!V49</f>
        <v>3793218</v>
      </c>
      <c r="W106" s="585">
        <f>'[3]וע. 5.2022-מעודכן'!W49</f>
        <v>18817956</v>
      </c>
      <c r="X106" s="534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184"/>
      <c r="AR106" s="184"/>
      <c r="AS106" s="184"/>
      <c r="AT106" s="184"/>
      <c r="AU106" s="184"/>
      <c r="AV106" s="184"/>
      <c r="AW106" s="184"/>
      <c r="AX106" s="184"/>
      <c r="AY106" s="535"/>
      <c r="AZ106" s="535"/>
      <c r="BA106" s="535"/>
      <c r="BB106" s="535"/>
      <c r="BC106" s="535"/>
      <c r="BD106" s="535"/>
      <c r="BE106" s="535"/>
      <c r="BF106" s="535"/>
      <c r="BG106" s="61"/>
      <c r="BH106" s="71"/>
      <c r="BI106" s="61"/>
      <c r="BJ106" s="61"/>
      <c r="BK106" s="61"/>
      <c r="BL106" s="61"/>
      <c r="BM106" s="172"/>
      <c r="BN106" s="172"/>
      <c r="BO106" s="172"/>
      <c r="BP106" s="172"/>
      <c r="BQ106" s="172"/>
      <c r="BR106" s="172"/>
      <c r="BS106" s="172"/>
      <c r="BT106" s="172"/>
      <c r="BU106" s="172"/>
    </row>
    <row r="107" spans="1:73" ht="22.8" hidden="1">
      <c r="A107" s="172"/>
      <c r="B107" s="61"/>
      <c r="C107" s="585">
        <f>'[3]וע. 6.2022  '!C55</f>
        <v>18</v>
      </c>
      <c r="D107" s="533"/>
      <c r="E107" s="578" t="s">
        <v>1160</v>
      </c>
      <c r="F107" s="585">
        <f>'[3]וע. 6.2022  '!F55</f>
        <v>550608992</v>
      </c>
      <c r="G107" s="585">
        <f>'[3]וע. 6.2022  '!G55</f>
        <v>541808992</v>
      </c>
      <c r="H107" s="585">
        <f>'[3]וע. 6.2022  '!H55</f>
        <v>8800000</v>
      </c>
      <c r="I107" s="585">
        <f>'[3]וע. 6.2022  '!I55</f>
        <v>225113946</v>
      </c>
      <c r="J107" s="585">
        <f>'[3]וע. 6.2022  '!J55</f>
        <v>196936230.85000002</v>
      </c>
      <c r="K107" s="585">
        <f>'[3]וע. 6.2022  '!K55</f>
        <v>0</v>
      </c>
      <c r="L107" s="585">
        <f>'[3]וע. 6.2022  '!L55</f>
        <v>0</v>
      </c>
      <c r="M107" s="585">
        <f>'[3]וע. 6.2022  '!M55</f>
        <v>0</v>
      </c>
      <c r="N107" s="585">
        <f>'[3]וע. 6.2022  '!N55</f>
        <v>196936230.85000002</v>
      </c>
      <c r="O107" s="585">
        <f>'[3]וע. 6.2022  '!O55</f>
        <v>167933716.06999999</v>
      </c>
      <c r="P107" s="585">
        <f>'[3]וע. 6.2022  '!P55</f>
        <v>185739045.07999998</v>
      </c>
      <c r="Q107" s="585">
        <f>'[3]וע. 6.2022  '!Q55</f>
        <v>28177715.149999995</v>
      </c>
      <c r="R107" s="585">
        <f>'[3]וע. 6.2022  '!R55</f>
        <v>139756000.92000002</v>
      </c>
      <c r="S107" s="585">
        <f>'[3]וע. 6.2022  '!S55</f>
        <v>133916000</v>
      </c>
      <c r="T107" s="585">
        <f>'[3]וע. 6.2022  '!T55</f>
        <v>5840000.9200000009</v>
      </c>
      <c r="U107" s="585">
        <f>'[3]וע. 6.2022  '!U55</f>
        <v>18635582.920000002</v>
      </c>
      <c r="V107" s="585">
        <f>'[3]וע. 6.2022  '!V55</f>
        <v>1050000</v>
      </c>
      <c r="W107" s="585">
        <f>'[3]וע. 6.2022  '!W55</f>
        <v>-13845582</v>
      </c>
      <c r="X107" s="534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184"/>
      <c r="AR107" s="184"/>
      <c r="AS107" s="184"/>
      <c r="AT107" s="184"/>
      <c r="AU107" s="184"/>
      <c r="AV107" s="184"/>
      <c r="AW107" s="184"/>
      <c r="AX107" s="184"/>
      <c r="AY107" s="535"/>
      <c r="AZ107" s="535"/>
      <c r="BA107" s="535"/>
      <c r="BB107" s="535"/>
      <c r="BC107" s="535"/>
      <c r="BD107" s="535"/>
      <c r="BE107" s="535"/>
      <c r="BF107" s="535"/>
      <c r="BG107" s="61"/>
      <c r="BH107" s="71"/>
      <c r="BI107" s="61"/>
      <c r="BJ107" s="61"/>
      <c r="BK107" s="61"/>
      <c r="BL107" s="61"/>
      <c r="BM107" s="172"/>
      <c r="BN107" s="172"/>
      <c r="BO107" s="172"/>
      <c r="BP107" s="172"/>
      <c r="BQ107" s="172"/>
      <c r="BR107" s="172"/>
      <c r="BS107" s="172"/>
      <c r="BT107" s="172"/>
      <c r="BU107" s="172"/>
    </row>
    <row r="108" spans="1:73" ht="22.8" hidden="1">
      <c r="A108" s="172"/>
      <c r="B108" s="61"/>
      <c r="C108" s="585">
        <f>'[3]וע. 7.2022 '!C49+'[3]וע. 7.2022  תוספת'!C46</f>
        <v>10</v>
      </c>
      <c r="D108" s="533"/>
      <c r="E108" s="578" t="s">
        <v>1161</v>
      </c>
      <c r="F108" s="585">
        <f>'[3]וע. 7.2022 '!F49+'[3]וע. 7.2022  תוספת'!F46</f>
        <v>353620553</v>
      </c>
      <c r="G108" s="585">
        <f>'[3]וע. 7.2022 '!G49+'[3]וע. 7.2022  תוספת'!G46</f>
        <v>352770000</v>
      </c>
      <c r="H108" s="585">
        <f>'[3]וע. 7.2022 '!H49+'[3]וע. 7.2022  תוספת'!H46</f>
        <v>850553</v>
      </c>
      <c r="I108" s="585">
        <f>'[3]וע. 7.2022 '!I49+'[3]וע. 7.2022  תוספת'!I46</f>
        <v>102518088</v>
      </c>
      <c r="J108" s="585">
        <f>'[3]וע. 7.2022 '!J49+'[3]וע. 7.2022  תוספת'!J46</f>
        <v>98665023.939999998</v>
      </c>
      <c r="K108" s="585">
        <f>'[3]וע. 7.2022 '!K49+'[3]וע. 7.2022  תוספת'!K46</f>
        <v>0</v>
      </c>
      <c r="L108" s="585">
        <f>'[3]וע. 7.2022 '!L49+'[3]וע. 7.2022  תוספת'!L46</f>
        <v>0</v>
      </c>
      <c r="M108" s="585">
        <f>'[3]וע. 7.2022 '!M49+'[3]וע. 7.2022  תוספת'!M46</f>
        <v>0</v>
      </c>
      <c r="N108" s="585">
        <f>'[3]וע. 7.2022 '!N49+'[3]וע. 7.2022  תוספת'!N46</f>
        <v>98665023.939999998</v>
      </c>
      <c r="O108" s="585">
        <f>'[3]וע. 7.2022 '!O49+'[3]וע. 7.2022  תוספת'!O46</f>
        <v>151173617.21000001</v>
      </c>
      <c r="P108" s="585">
        <f>'[3]וע. 7.2022 '!P49+'[3]וע. 7.2022  תוספת'!P46</f>
        <v>103781911.84999998</v>
      </c>
      <c r="Q108" s="585">
        <f>'[3]וע. 7.2022 '!Q49+'[3]וע. 7.2022  תוספת'!Q46</f>
        <v>3853064.0599999977</v>
      </c>
      <c r="R108" s="585">
        <f>'[3]וע. 7.2022 '!R49+'[3]וע. 7.2022  תוספת'!R46</f>
        <v>147320553.15000001</v>
      </c>
      <c r="S108" s="585">
        <f>'[3]וע. 7.2022 '!S49+'[3]וע. 7.2022  תוספת'!S46</f>
        <v>125960000</v>
      </c>
      <c r="T108" s="585">
        <f>'[3]וע. 7.2022 '!T49+'[3]וע. 7.2022  תוספת'!T46</f>
        <v>21360553.149999999</v>
      </c>
      <c r="U108" s="585">
        <f>'[3]וע. 7.2022 '!U49+'[3]וע. 7.2022  תוספת'!U46</f>
        <v>20820000.149999999</v>
      </c>
      <c r="V108" s="585">
        <f>'[3]וע. 7.2022 '!V49+'[3]וע. 7.2022  תוספת'!V46</f>
        <v>108611</v>
      </c>
      <c r="W108" s="585">
        <f>'[3]וע. 7.2022 '!W49+'[3]וע. 7.2022  תוספת'!W46</f>
        <v>431942</v>
      </c>
      <c r="X108" s="534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184"/>
      <c r="AR108" s="184"/>
      <c r="AS108" s="184"/>
      <c r="AT108" s="184"/>
      <c r="AU108" s="184"/>
      <c r="AV108" s="184"/>
      <c r="AW108" s="184"/>
      <c r="AX108" s="184"/>
      <c r="AY108" s="535"/>
      <c r="AZ108" s="535"/>
      <c r="BA108" s="535"/>
      <c r="BB108" s="535"/>
      <c r="BC108" s="535"/>
      <c r="BD108" s="535"/>
      <c r="BE108" s="535"/>
      <c r="BF108" s="535"/>
      <c r="BG108" s="61"/>
      <c r="BH108" s="71"/>
      <c r="BI108" s="61"/>
      <c r="BJ108" s="61"/>
      <c r="BK108" s="61"/>
      <c r="BL108" s="61"/>
      <c r="BM108" s="172"/>
      <c r="BN108" s="172"/>
      <c r="BO108" s="172"/>
      <c r="BP108" s="172"/>
      <c r="BQ108" s="172"/>
      <c r="BR108" s="172"/>
      <c r="BS108" s="172"/>
      <c r="BT108" s="172"/>
      <c r="BU108" s="172"/>
    </row>
    <row r="109" spans="1:73" ht="22.8" hidden="1">
      <c r="A109" s="172"/>
      <c r="B109" s="61"/>
      <c r="C109" s="585">
        <f>'[3]וע. 8.2022  '!C46</f>
        <v>8</v>
      </c>
      <c r="D109" s="533"/>
      <c r="E109" s="578" t="s">
        <v>1162</v>
      </c>
      <c r="F109" s="585">
        <f>'[3]וע. 8.2022  '!F46</f>
        <v>54845553</v>
      </c>
      <c r="G109" s="585">
        <f>'[3]וע. 8.2022  '!G46</f>
        <v>52680553</v>
      </c>
      <c r="H109" s="585">
        <f>'[3]וע. 8.2022  '!H46</f>
        <v>2165000</v>
      </c>
      <c r="I109" s="585">
        <f>'[3]וע. 8.2022  '!I46</f>
        <v>22600000</v>
      </c>
      <c r="J109" s="585">
        <f>'[3]וע. 8.2022  '!J46</f>
        <v>18709811.280000001</v>
      </c>
      <c r="K109" s="585">
        <f>'[3]וע. 8.2022  '!K46</f>
        <v>0</v>
      </c>
      <c r="L109" s="585">
        <f>'[3]וע. 8.2022  '!L46</f>
        <v>0</v>
      </c>
      <c r="M109" s="585">
        <f>'[3]וע. 8.2022  '!M46</f>
        <v>0</v>
      </c>
      <c r="N109" s="585">
        <f>'[3]וע. 8.2022  '!N46</f>
        <v>18709811.280000001</v>
      </c>
      <c r="O109" s="585">
        <f>'[3]וע. 8.2022  '!O46</f>
        <v>19585741.5</v>
      </c>
      <c r="P109" s="585">
        <f>'[3]וע. 8.2022  '!P46</f>
        <v>16550000.220000001</v>
      </c>
      <c r="Q109" s="585">
        <f>'[3]וע. 8.2022  '!Q46</f>
        <v>3890188.7200000007</v>
      </c>
      <c r="R109" s="585">
        <f>'[3]וע. 8.2022  '!R46</f>
        <v>15695552.779999999</v>
      </c>
      <c r="S109" s="585">
        <f>'[3]וע. 8.2022  '!S46</f>
        <v>14030553</v>
      </c>
      <c r="T109" s="585">
        <f>'[3]וע. 8.2022  '!T46</f>
        <v>1664999.7799999993</v>
      </c>
      <c r="U109" s="585">
        <f>'[3]וע. 8.2022  '!U46</f>
        <v>447430.77999999933</v>
      </c>
      <c r="V109" s="585">
        <f>'[3]וע. 8.2022  '!V46</f>
        <v>400000</v>
      </c>
      <c r="W109" s="585">
        <f>'[3]וע. 8.2022  '!W46</f>
        <v>817569</v>
      </c>
      <c r="X109" s="534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184"/>
      <c r="AR109" s="184"/>
      <c r="AS109" s="184"/>
      <c r="AT109" s="184"/>
      <c r="AU109" s="184"/>
      <c r="AV109" s="184"/>
      <c r="AW109" s="184"/>
      <c r="AX109" s="184"/>
      <c r="AY109" s="535"/>
      <c r="AZ109" s="535"/>
      <c r="BA109" s="535"/>
      <c r="BB109" s="535"/>
      <c r="BC109" s="535"/>
      <c r="BD109" s="535"/>
      <c r="BE109" s="535"/>
      <c r="BF109" s="535"/>
      <c r="BG109" s="61"/>
      <c r="BH109" s="71"/>
      <c r="BI109" s="61"/>
      <c r="BJ109" s="61"/>
      <c r="BK109" s="61"/>
      <c r="BL109" s="61"/>
      <c r="BM109" s="172"/>
      <c r="BN109" s="172"/>
      <c r="BO109" s="172"/>
      <c r="BP109" s="172"/>
      <c r="BQ109" s="172"/>
      <c r="BR109" s="172"/>
      <c r="BS109" s="172"/>
      <c r="BT109" s="172"/>
      <c r="BU109" s="172"/>
    </row>
    <row r="110" spans="1:73" ht="22.8" hidden="1">
      <c r="A110" s="172"/>
      <c r="B110" s="61"/>
      <c r="C110" s="585">
        <f>'[4]וע. 10.2022  '!C46</f>
        <v>2</v>
      </c>
      <c r="D110" s="533"/>
      <c r="E110" s="578" t="s">
        <v>1170</v>
      </c>
      <c r="F110" s="585">
        <f>'[4]וע. 10.2022  '!F46</f>
        <v>5414423</v>
      </c>
      <c r="G110" s="585">
        <f>'[4]וע. 10.2022  '!G46</f>
        <v>5430000</v>
      </c>
      <c r="H110" s="585">
        <f>'[4]וע. 10.2022  '!H46</f>
        <v>-15577</v>
      </c>
      <c r="I110" s="585">
        <f>'[4]וע. 10.2022  '!I46</f>
        <v>890000</v>
      </c>
      <c r="J110" s="585">
        <f>'[4]וע. 10.2022  '!J46</f>
        <v>746428.49</v>
      </c>
      <c r="K110" s="585">
        <f>'[4]וע. 10.2022  '!K46</f>
        <v>0</v>
      </c>
      <c r="L110" s="585">
        <f>'[4]וע. 10.2022  '!L46</f>
        <v>0</v>
      </c>
      <c r="M110" s="585">
        <f>'[4]וע. 10.2022  '!M46</f>
        <v>0</v>
      </c>
      <c r="N110" s="585">
        <f>'[4]וע. 10.2022  '!N46</f>
        <v>746428.49</v>
      </c>
      <c r="O110" s="585">
        <f>'[4]וע. 10.2022  '!O46</f>
        <v>4667995</v>
      </c>
      <c r="P110" s="585">
        <f>'[4]וע. 10.2022  '!P46</f>
        <v>-0.49000000022351742</v>
      </c>
      <c r="Q110" s="585">
        <f>'[4]וע. 10.2022  '!Q46</f>
        <v>143571.51</v>
      </c>
      <c r="R110" s="585">
        <f>'[4]וע. 10.2022  '!R46</f>
        <v>4524423.49</v>
      </c>
      <c r="S110" s="585">
        <f>'[4]וע. 10.2022  '!S46</f>
        <v>2540000</v>
      </c>
      <c r="T110" s="585">
        <f>'[4]וע. 10.2022  '!T46</f>
        <v>1984423.4900000002</v>
      </c>
      <c r="U110" s="585">
        <f>'[4]וע. 10.2022  '!U46</f>
        <v>2000000.4900000002</v>
      </c>
      <c r="V110" s="585">
        <f>'[4]וע. 10.2022  '!V46</f>
        <v>-1358</v>
      </c>
      <c r="W110" s="585">
        <f>'[4]וע. 10.2022  '!W46</f>
        <v>-14219</v>
      </c>
      <c r="X110" s="534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184"/>
      <c r="AR110" s="184"/>
      <c r="AS110" s="184"/>
      <c r="AT110" s="184"/>
      <c r="AU110" s="184"/>
      <c r="AV110" s="184"/>
      <c r="AW110" s="184"/>
      <c r="AX110" s="184"/>
      <c r="AY110" s="535"/>
      <c r="AZ110" s="535"/>
      <c r="BA110" s="535"/>
      <c r="BB110" s="535"/>
      <c r="BC110" s="535"/>
      <c r="BD110" s="535"/>
      <c r="BE110" s="535"/>
      <c r="BF110" s="535"/>
      <c r="BG110" s="61"/>
      <c r="BH110" s="71"/>
      <c r="BI110" s="61"/>
      <c r="BJ110" s="61"/>
      <c r="BK110" s="61"/>
      <c r="BL110" s="61"/>
      <c r="BM110" s="172"/>
      <c r="BN110" s="172"/>
      <c r="BO110" s="172"/>
      <c r="BP110" s="172"/>
      <c r="BQ110" s="172"/>
      <c r="BR110" s="172"/>
      <c r="BS110" s="172"/>
      <c r="BT110" s="172"/>
      <c r="BU110" s="172"/>
    </row>
    <row r="111" spans="1:73" ht="22.8" hidden="1">
      <c r="A111" s="172"/>
      <c r="B111" s="61"/>
      <c r="C111" s="585">
        <f>SUM(C102:C110)</f>
        <v>69</v>
      </c>
      <c r="D111" s="533"/>
      <c r="E111" s="578" t="s">
        <v>88</v>
      </c>
      <c r="F111" s="585">
        <f>SUM(F102:F110)</f>
        <v>1342819042</v>
      </c>
      <c r="G111" s="585">
        <f t="shared" ref="G111:W111" si="35">SUM(G102:G110)</f>
        <v>1297859066</v>
      </c>
      <c r="H111" s="585">
        <f t="shared" si="35"/>
        <v>44959976</v>
      </c>
      <c r="I111" s="585">
        <f t="shared" si="35"/>
        <v>415880785</v>
      </c>
      <c r="J111" s="585">
        <f t="shared" si="35"/>
        <v>360577316.19000006</v>
      </c>
      <c r="K111" s="585">
        <f t="shared" si="35"/>
        <v>0</v>
      </c>
      <c r="L111" s="585">
        <f t="shared" si="35"/>
        <v>21086</v>
      </c>
      <c r="M111" s="585">
        <f t="shared" si="35"/>
        <v>21086</v>
      </c>
      <c r="N111" s="585">
        <f t="shared" si="35"/>
        <v>360598402.19000006</v>
      </c>
      <c r="O111" s="585">
        <f t="shared" si="35"/>
        <v>451760254.14999998</v>
      </c>
      <c r="P111" s="585">
        <f t="shared" si="35"/>
        <v>530460385.65999997</v>
      </c>
      <c r="Q111" s="585">
        <f t="shared" si="35"/>
        <v>55282382.809999987</v>
      </c>
      <c r="R111" s="585">
        <f t="shared" si="35"/>
        <v>396477871.34000003</v>
      </c>
      <c r="S111" s="585">
        <f t="shared" si="35"/>
        <v>322262444</v>
      </c>
      <c r="T111" s="585">
        <f t="shared" si="35"/>
        <v>74215427.339999989</v>
      </c>
      <c r="U111" s="585">
        <f t="shared" si="35"/>
        <v>47240490.340000004</v>
      </c>
      <c r="V111" s="585">
        <f t="shared" si="35"/>
        <v>14080471</v>
      </c>
      <c r="W111" s="585">
        <f t="shared" si="35"/>
        <v>12894466</v>
      </c>
      <c r="X111" s="534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184"/>
      <c r="AR111" s="184"/>
      <c r="AS111" s="184"/>
      <c r="AT111" s="184"/>
      <c r="AU111" s="184"/>
      <c r="AV111" s="184"/>
      <c r="AW111" s="184"/>
      <c r="AX111" s="184"/>
      <c r="AY111" s="535"/>
      <c r="AZ111" s="535"/>
      <c r="BA111" s="535"/>
      <c r="BB111" s="535"/>
      <c r="BC111" s="535"/>
      <c r="BD111" s="535"/>
      <c r="BE111" s="535"/>
      <c r="BF111" s="535"/>
      <c r="BG111" s="61"/>
      <c r="BH111" s="71"/>
      <c r="BI111" s="61"/>
      <c r="BJ111" s="61"/>
      <c r="BK111" s="61"/>
      <c r="BL111" s="61"/>
      <c r="BM111" s="172"/>
      <c r="BN111" s="172"/>
      <c r="BO111" s="172"/>
      <c r="BP111" s="172"/>
      <c r="BQ111" s="172"/>
      <c r="BR111" s="172"/>
      <c r="BS111" s="172"/>
      <c r="BT111" s="172"/>
      <c r="BU111" s="172"/>
    </row>
    <row r="112" spans="1:73" ht="22.8" hidden="1">
      <c r="A112" s="172"/>
      <c r="B112" s="61"/>
      <c r="C112" s="585"/>
      <c r="D112" s="533"/>
      <c r="E112" s="578"/>
      <c r="F112" s="585"/>
      <c r="G112" s="585"/>
      <c r="H112" s="585"/>
      <c r="I112" s="585"/>
      <c r="J112" s="585"/>
      <c r="K112" s="585"/>
      <c r="L112" s="585"/>
      <c r="M112" s="585"/>
      <c r="N112" s="585"/>
      <c r="O112" s="585"/>
      <c r="P112" s="585"/>
      <c r="Q112" s="585"/>
      <c r="R112" s="585"/>
      <c r="S112" s="585"/>
      <c r="T112" s="585"/>
      <c r="U112" s="585"/>
      <c r="V112" s="585"/>
      <c r="W112" s="585"/>
      <c r="X112" s="534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184"/>
      <c r="AR112" s="184"/>
      <c r="AS112" s="184"/>
      <c r="AT112" s="184"/>
      <c r="AU112" s="184"/>
      <c r="AV112" s="184"/>
      <c r="AW112" s="184"/>
      <c r="AX112" s="184"/>
      <c r="AY112" s="535"/>
      <c r="AZ112" s="535"/>
      <c r="BA112" s="535"/>
      <c r="BB112" s="535"/>
      <c r="BC112" s="535"/>
      <c r="BD112" s="535"/>
      <c r="BE112" s="535"/>
      <c r="BF112" s="535"/>
      <c r="BG112" s="61"/>
      <c r="BH112" s="71"/>
      <c r="BI112" s="61"/>
      <c r="BJ112" s="61"/>
      <c r="BK112" s="61"/>
      <c r="BL112" s="61"/>
      <c r="BM112" s="172"/>
      <c r="BN112" s="172"/>
      <c r="BO112" s="172"/>
      <c r="BP112" s="172"/>
      <c r="BQ112" s="172"/>
      <c r="BR112" s="172"/>
      <c r="BS112" s="172"/>
      <c r="BT112" s="172"/>
      <c r="BU112" s="172"/>
    </row>
    <row r="113" spans="1:73" ht="22.8" hidden="1">
      <c r="A113" s="574"/>
      <c r="B113" s="578"/>
      <c r="C113" s="576">
        <f>C100-C111</f>
        <v>0</v>
      </c>
      <c r="D113" s="533"/>
      <c r="E113" s="578" t="s">
        <v>1163</v>
      </c>
      <c r="F113" s="576">
        <f t="shared" ref="F113:W113" si="36">F100-F111</f>
        <v>0</v>
      </c>
      <c r="G113" s="576">
        <f t="shared" si="36"/>
        <v>0</v>
      </c>
      <c r="H113" s="576">
        <f t="shared" si="36"/>
        <v>0</v>
      </c>
      <c r="I113" s="576">
        <f t="shared" si="36"/>
        <v>0</v>
      </c>
      <c r="J113" s="576">
        <f t="shared" si="36"/>
        <v>0</v>
      </c>
      <c r="K113" s="576">
        <f t="shared" si="36"/>
        <v>0</v>
      </c>
      <c r="L113" s="576">
        <f t="shared" si="36"/>
        <v>0</v>
      </c>
      <c r="M113" s="576">
        <f t="shared" si="36"/>
        <v>0</v>
      </c>
      <c r="N113" s="576">
        <f t="shared" si="36"/>
        <v>0</v>
      </c>
      <c r="O113" s="576">
        <f t="shared" si="36"/>
        <v>0</v>
      </c>
      <c r="P113" s="576">
        <f t="shared" si="36"/>
        <v>0</v>
      </c>
      <c r="Q113" s="576">
        <f t="shared" si="36"/>
        <v>0</v>
      </c>
      <c r="R113" s="576">
        <f t="shared" si="36"/>
        <v>0</v>
      </c>
      <c r="S113" s="576">
        <f t="shared" si="36"/>
        <v>10000</v>
      </c>
      <c r="T113" s="576">
        <f t="shared" si="36"/>
        <v>-9999.9999999850988</v>
      </c>
      <c r="U113" s="576">
        <f t="shared" si="36"/>
        <v>0</v>
      </c>
      <c r="V113" s="576">
        <f t="shared" si="36"/>
        <v>0</v>
      </c>
      <c r="W113" s="576">
        <f t="shared" si="36"/>
        <v>-10000</v>
      </c>
      <c r="X113" s="534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3"/>
      <c r="AJ113" s="61"/>
      <c r="AK113" s="61"/>
      <c r="AL113" s="61"/>
      <c r="AM113" s="61"/>
      <c r="AN113" s="61"/>
      <c r="AO113" s="61"/>
      <c r="AP113" s="61"/>
      <c r="AQ113" s="184"/>
      <c r="AR113" s="184"/>
      <c r="AS113" s="184"/>
      <c r="AT113" s="184"/>
      <c r="AU113" s="184"/>
      <c r="AV113" s="184"/>
      <c r="AW113" s="184"/>
      <c r="AX113" s="184"/>
      <c r="AY113" s="535"/>
      <c r="AZ113" s="535"/>
      <c r="BA113" s="535"/>
      <c r="BB113" s="535"/>
      <c r="BC113" s="535"/>
      <c r="BD113" s="535"/>
      <c r="BE113" s="535"/>
      <c r="BF113" s="535"/>
      <c r="BG113" s="61"/>
      <c r="BH113" s="71"/>
      <c r="BI113" s="61"/>
      <c r="BJ113" s="61"/>
      <c r="BK113" s="61"/>
      <c r="BL113" s="61"/>
      <c r="BM113" s="172"/>
      <c r="BN113" s="172"/>
      <c r="BO113" s="172"/>
      <c r="BP113" s="172"/>
      <c r="BQ113" s="172"/>
      <c r="BR113" s="172"/>
      <c r="BS113" s="172"/>
      <c r="BT113" s="172"/>
      <c r="BU113" s="172"/>
    </row>
    <row r="114" spans="1:73" ht="22.8" hidden="1">
      <c r="A114" s="574"/>
      <c r="B114" s="578"/>
      <c r="C114" s="576"/>
      <c r="D114" s="533"/>
      <c r="E114" s="578"/>
      <c r="F114" s="576"/>
      <c r="G114" s="576"/>
      <c r="H114" s="576"/>
      <c r="I114" s="576"/>
      <c r="J114" s="576"/>
      <c r="K114" s="576"/>
      <c r="L114" s="576"/>
      <c r="M114" s="576"/>
      <c r="N114" s="576"/>
      <c r="O114" s="576"/>
      <c r="P114" s="576"/>
      <c r="Q114" s="576"/>
      <c r="R114" s="576"/>
      <c r="S114" s="576"/>
      <c r="T114" s="576"/>
      <c r="U114" s="576"/>
      <c r="V114" s="576"/>
      <c r="W114" s="576"/>
      <c r="X114" s="534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3"/>
      <c r="AJ114" s="61"/>
      <c r="AK114" s="61"/>
      <c r="AL114" s="61"/>
      <c r="AM114" s="61"/>
      <c r="AN114" s="61"/>
      <c r="AO114" s="61"/>
      <c r="AP114" s="61"/>
      <c r="AQ114" s="184"/>
      <c r="AR114" s="184"/>
      <c r="AS114" s="184"/>
      <c r="AT114" s="184"/>
      <c r="AU114" s="184"/>
      <c r="AV114" s="184"/>
      <c r="AW114" s="184"/>
      <c r="AX114" s="184"/>
      <c r="AY114" s="535"/>
      <c r="AZ114" s="535"/>
      <c r="BA114" s="535"/>
      <c r="BB114" s="535"/>
      <c r="BC114" s="535"/>
      <c r="BD114" s="535"/>
      <c r="BE114" s="535"/>
      <c r="BF114" s="535"/>
      <c r="BG114" s="61"/>
      <c r="BH114" s="71"/>
      <c r="BI114" s="61"/>
      <c r="BJ114" s="61"/>
      <c r="BK114" s="61"/>
      <c r="BL114" s="61"/>
      <c r="BM114" s="172"/>
      <c r="BN114" s="172"/>
      <c r="BO114" s="172"/>
      <c r="BP114" s="172"/>
      <c r="BQ114" s="172"/>
      <c r="BR114" s="172"/>
      <c r="BS114" s="172"/>
      <c r="BT114" s="172"/>
      <c r="BU114" s="172"/>
    </row>
    <row r="115" spans="1:73" ht="22.8" hidden="1">
      <c r="A115" s="574"/>
      <c r="B115" s="578"/>
      <c r="C115" s="576"/>
      <c r="D115" s="533"/>
      <c r="E115" s="578"/>
      <c r="F115" s="576"/>
      <c r="G115" s="576"/>
      <c r="H115" s="576"/>
      <c r="I115" s="576"/>
      <c r="J115" s="576"/>
      <c r="K115" s="576"/>
      <c r="L115" s="576"/>
      <c r="M115" s="576"/>
      <c r="N115" s="576"/>
      <c r="O115" s="576"/>
      <c r="P115" s="576"/>
      <c r="Q115" s="576"/>
      <c r="R115" s="576"/>
      <c r="S115" s="576"/>
      <c r="T115" s="576"/>
      <c r="U115" s="576"/>
      <c r="V115" s="576"/>
      <c r="W115" s="576"/>
      <c r="X115" s="534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3"/>
      <c r="AJ115" s="61"/>
      <c r="AK115" s="61"/>
      <c r="AL115" s="61"/>
      <c r="AM115" s="61"/>
      <c r="AN115" s="61"/>
      <c r="AO115" s="61"/>
      <c r="AP115" s="61"/>
      <c r="AQ115" s="184"/>
      <c r="AR115" s="184"/>
      <c r="AS115" s="184"/>
      <c r="AT115" s="184"/>
      <c r="AU115" s="184"/>
      <c r="AV115" s="184"/>
      <c r="AW115" s="184"/>
      <c r="AX115" s="184"/>
      <c r="AY115" s="535"/>
      <c r="AZ115" s="535"/>
      <c r="BA115" s="535"/>
      <c r="BB115" s="535"/>
      <c r="BC115" s="535"/>
      <c r="BD115" s="535"/>
      <c r="BE115" s="535"/>
      <c r="BF115" s="535"/>
      <c r="BG115" s="61"/>
      <c r="BH115" s="71"/>
      <c r="BI115" s="61"/>
      <c r="BJ115" s="61"/>
      <c r="BK115" s="61"/>
      <c r="BL115" s="61"/>
      <c r="BM115" s="172"/>
      <c r="BN115" s="172"/>
      <c r="BO115" s="172"/>
      <c r="BP115" s="172"/>
      <c r="BQ115" s="172"/>
      <c r="BR115" s="172"/>
      <c r="BS115" s="172"/>
      <c r="BT115" s="172"/>
      <c r="BU115" s="172"/>
    </row>
    <row r="116" spans="1:73" ht="22.8" hidden="1">
      <c r="C116" s="61"/>
      <c r="D116" s="533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586"/>
      <c r="Q116" s="586"/>
      <c r="R116" s="586"/>
      <c r="S116" s="586"/>
      <c r="T116" s="586"/>
      <c r="U116" s="586"/>
      <c r="V116" s="586"/>
      <c r="W116" s="586"/>
      <c r="X116" s="586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184"/>
      <c r="AR116" s="184"/>
      <c r="AS116" s="184"/>
      <c r="AT116" s="184"/>
      <c r="AU116" s="184"/>
      <c r="AV116" s="184"/>
      <c r="AW116" s="184"/>
      <c r="AX116" s="184"/>
      <c r="AY116" s="535"/>
      <c r="AZ116" s="535"/>
      <c r="BA116" s="535"/>
      <c r="BB116" s="535"/>
      <c r="BC116" s="535"/>
      <c r="BD116" s="535"/>
      <c r="BE116" s="535"/>
      <c r="BF116" s="535"/>
      <c r="BG116" s="61"/>
      <c r="BH116" s="61"/>
      <c r="BI116" s="61"/>
      <c r="BJ116" s="61"/>
      <c r="BK116" s="61"/>
      <c r="BL116" s="61"/>
      <c r="BM116" s="172"/>
      <c r="BN116" s="172"/>
      <c r="BO116" s="172"/>
      <c r="BP116" s="172"/>
      <c r="BQ116" s="172"/>
      <c r="BR116" s="172"/>
      <c r="BS116" s="172"/>
      <c r="BT116" s="172"/>
      <c r="BU116" s="172"/>
    </row>
    <row r="117" spans="1:73" ht="22.8" hidden="1">
      <c r="C117" s="61"/>
      <c r="D117" s="533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586"/>
      <c r="Q117" s="586"/>
      <c r="R117" s="586"/>
      <c r="S117" s="586"/>
      <c r="T117" s="586"/>
      <c r="U117" s="586"/>
      <c r="V117" s="586"/>
      <c r="W117" s="586"/>
      <c r="X117" s="586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184"/>
      <c r="AR117" s="184"/>
      <c r="AS117" s="184"/>
      <c r="AT117" s="184"/>
      <c r="AU117" s="184"/>
      <c r="AV117" s="184"/>
      <c r="AW117" s="184"/>
      <c r="AX117" s="184"/>
      <c r="AY117" s="535"/>
      <c r="AZ117" s="535"/>
      <c r="BA117" s="535"/>
      <c r="BB117" s="535"/>
      <c r="BC117" s="535"/>
      <c r="BD117" s="535"/>
      <c r="BE117" s="535"/>
      <c r="BF117" s="535"/>
      <c r="BG117" s="61"/>
      <c r="BH117" s="61"/>
      <c r="BI117" s="61"/>
      <c r="BJ117" s="61"/>
      <c r="BK117" s="61"/>
      <c r="BL117" s="61"/>
      <c r="BM117" s="172"/>
      <c r="BN117" s="172"/>
      <c r="BO117" s="172"/>
      <c r="BP117" s="172"/>
      <c r="BQ117" s="172"/>
      <c r="BR117" s="172"/>
      <c r="BS117" s="172"/>
      <c r="BT117" s="172"/>
      <c r="BU117" s="172"/>
    </row>
    <row r="118" spans="1:73" ht="22.8">
      <c r="C118" s="135"/>
      <c r="D118" s="587"/>
      <c r="E118" s="534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586"/>
      <c r="Q118" s="586"/>
      <c r="R118" s="586"/>
      <c r="S118" s="586"/>
      <c r="T118" s="586"/>
      <c r="U118" s="586"/>
      <c r="V118" s="586"/>
      <c r="W118" s="586"/>
      <c r="X118" s="586"/>
      <c r="Y118" s="535"/>
      <c r="Z118" s="535"/>
      <c r="AA118" s="535"/>
      <c r="AB118" s="535"/>
      <c r="AC118" s="535"/>
      <c r="AD118" s="535"/>
      <c r="AE118" s="535"/>
      <c r="AF118" s="535"/>
      <c r="AG118" s="572">
        <f>SUM(Y100:AG100)</f>
        <v>95546171</v>
      </c>
      <c r="AH118" s="535"/>
      <c r="AI118" s="535"/>
      <c r="AJ118" s="535"/>
      <c r="AK118" s="535"/>
      <c r="AL118" s="535"/>
      <c r="AM118" s="535"/>
      <c r="AN118" s="535"/>
      <c r="AO118" s="535"/>
      <c r="AP118" s="535"/>
      <c r="AQ118" s="184"/>
      <c r="AR118" s="184"/>
      <c r="AS118" s="184"/>
      <c r="AT118" s="184"/>
      <c r="AU118" s="184"/>
      <c r="AV118" s="184"/>
      <c r="AW118" s="184"/>
      <c r="AX118" s="184"/>
      <c r="AY118" s="61"/>
      <c r="AZ118" s="61"/>
      <c r="BA118" s="61"/>
      <c r="BB118" s="61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</row>
    <row r="119" spans="1:73" ht="22.8">
      <c r="C119" s="135"/>
      <c r="D119" s="587"/>
      <c r="E119" s="534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586"/>
      <c r="Q119" s="586"/>
      <c r="R119" s="586"/>
      <c r="S119" s="586"/>
      <c r="T119" s="586"/>
      <c r="U119" s="586"/>
      <c r="V119" s="586"/>
      <c r="W119" s="586"/>
      <c r="X119" s="586"/>
      <c r="Y119" s="535"/>
      <c r="Z119" s="535"/>
      <c r="AA119" s="535"/>
      <c r="AB119" s="535"/>
      <c r="AC119" s="535"/>
      <c r="AD119" s="535"/>
      <c r="AE119" s="535"/>
      <c r="AF119" s="535"/>
      <c r="AG119" s="535"/>
      <c r="AH119" s="535"/>
      <c r="AI119" s="535"/>
      <c r="AJ119" s="535"/>
      <c r="AK119" s="535"/>
      <c r="AL119" s="535"/>
      <c r="AM119" s="535"/>
      <c r="AN119" s="535"/>
      <c r="AO119" s="535"/>
      <c r="AP119" s="535"/>
      <c r="AQ119" s="184"/>
      <c r="AR119" s="184"/>
      <c r="AS119" s="184"/>
      <c r="AT119" s="184"/>
      <c r="AU119" s="184"/>
      <c r="AV119" s="184"/>
      <c r="AW119" s="184"/>
      <c r="AX119" s="184"/>
      <c r="AY119" s="61"/>
      <c r="AZ119" s="61"/>
      <c r="BA119" s="61"/>
      <c r="BB119" s="61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</row>
    <row r="120" spans="1:73" ht="22.8">
      <c r="C120" s="135"/>
      <c r="D120" s="587"/>
      <c r="E120" s="534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586"/>
      <c r="Q120" s="586"/>
      <c r="R120" s="586"/>
      <c r="S120" s="586"/>
      <c r="T120" s="586"/>
      <c r="U120" s="586"/>
      <c r="V120" s="586"/>
      <c r="W120" s="586"/>
      <c r="X120" s="586"/>
      <c r="Y120" s="535"/>
      <c r="Z120" s="535"/>
      <c r="AA120" s="535"/>
      <c r="AB120" s="535"/>
      <c r="AC120" s="535"/>
      <c r="AD120" s="535"/>
      <c r="AE120" s="535"/>
      <c r="AF120" s="535"/>
      <c r="AG120" s="535"/>
      <c r="AH120" s="535"/>
      <c r="AI120" s="535"/>
      <c r="AJ120" s="535"/>
      <c r="AK120" s="535"/>
      <c r="AL120" s="535"/>
      <c r="AM120" s="535"/>
      <c r="AN120" s="535"/>
      <c r="AO120" s="535"/>
      <c r="AP120" s="535"/>
      <c r="AQ120" s="184"/>
      <c r="AR120" s="184"/>
      <c r="AS120" s="184"/>
      <c r="AT120" s="184"/>
      <c r="AU120" s="184"/>
      <c r="AV120" s="184"/>
      <c r="AW120" s="184"/>
      <c r="AX120" s="184"/>
      <c r="AY120" s="61"/>
      <c r="AZ120" s="61"/>
      <c r="BA120" s="61"/>
      <c r="BB120" s="61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</row>
    <row r="121" spans="1:73" ht="22.8">
      <c r="C121" s="135"/>
      <c r="D121" s="587"/>
      <c r="E121" s="534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586"/>
      <c r="Q121" s="586"/>
      <c r="R121" s="586"/>
      <c r="S121" s="586"/>
      <c r="T121" s="586"/>
      <c r="U121" s="586"/>
      <c r="V121" s="586"/>
      <c r="W121" s="586"/>
      <c r="X121" s="586"/>
      <c r="Y121" s="535"/>
      <c r="Z121" s="535"/>
      <c r="AA121" s="535"/>
      <c r="AB121" s="535"/>
      <c r="AC121" s="535"/>
      <c r="AD121" s="535"/>
      <c r="AE121" s="535"/>
      <c r="AF121" s="535"/>
      <c r="AG121" s="535"/>
      <c r="AH121" s="535"/>
      <c r="AI121" s="535"/>
      <c r="AJ121" s="535"/>
      <c r="AK121" s="535"/>
      <c r="AL121" s="535"/>
      <c r="AM121" s="535"/>
      <c r="AN121" s="535"/>
      <c r="AO121" s="535"/>
      <c r="AP121" s="535"/>
      <c r="AQ121" s="184"/>
      <c r="AR121" s="184"/>
      <c r="AS121" s="184"/>
      <c r="AT121" s="184"/>
      <c r="AU121" s="184"/>
      <c r="AV121" s="184"/>
      <c r="AW121" s="184"/>
      <c r="AX121" s="184"/>
      <c r="AY121" s="61"/>
      <c r="AZ121" s="61"/>
      <c r="BA121" s="61"/>
      <c r="BB121" s="61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</row>
    <row r="122" spans="1:73" ht="22.8">
      <c r="C122" s="135"/>
      <c r="D122" s="587"/>
      <c r="E122" s="534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586"/>
      <c r="Q122" s="586"/>
      <c r="R122" s="586"/>
      <c r="S122" s="586"/>
      <c r="T122" s="586"/>
      <c r="U122" s="586"/>
      <c r="V122" s="586"/>
      <c r="W122" s="586"/>
      <c r="X122" s="586"/>
      <c r="Y122" s="535"/>
      <c r="Z122" s="535"/>
      <c r="AA122" s="535"/>
      <c r="AB122" s="535"/>
      <c r="AC122" s="535"/>
      <c r="AD122" s="535"/>
      <c r="AE122" s="535"/>
      <c r="AF122" s="535"/>
      <c r="AG122" s="535"/>
      <c r="AH122" s="535"/>
      <c r="AI122" s="535"/>
      <c r="AJ122" s="535"/>
      <c r="AK122" s="535"/>
      <c r="AL122" s="535"/>
      <c r="AM122" s="535"/>
      <c r="AN122" s="535"/>
      <c r="AO122" s="535"/>
      <c r="AP122" s="535"/>
      <c r="AQ122" s="184"/>
      <c r="AR122" s="184"/>
      <c r="AS122" s="184"/>
      <c r="AT122" s="184"/>
      <c r="AU122" s="184"/>
      <c r="AV122" s="184"/>
      <c r="AW122" s="184"/>
      <c r="AX122" s="184"/>
      <c r="AY122" s="61"/>
      <c r="AZ122" s="61"/>
      <c r="BA122" s="61"/>
      <c r="BB122" s="61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</row>
    <row r="123" spans="1:73" ht="22.8">
      <c r="C123" s="135"/>
      <c r="D123" s="587"/>
      <c r="E123" s="534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586"/>
      <c r="Q123" s="586"/>
      <c r="R123" s="586"/>
      <c r="S123" s="586"/>
      <c r="T123" s="586"/>
      <c r="U123" s="586"/>
      <c r="V123" s="586"/>
      <c r="W123" s="586"/>
      <c r="X123" s="586"/>
      <c r="Y123" s="535"/>
      <c r="Z123" s="535"/>
      <c r="AA123" s="535"/>
      <c r="AB123" s="535"/>
      <c r="AC123" s="535"/>
      <c r="AD123" s="535"/>
      <c r="AE123" s="535"/>
      <c r="AF123" s="535"/>
      <c r="AG123" s="535"/>
      <c r="AH123" s="535"/>
      <c r="AI123" s="535"/>
      <c r="AJ123" s="535"/>
      <c r="AK123" s="535"/>
      <c r="AL123" s="535"/>
      <c r="AM123" s="535"/>
      <c r="AN123" s="535"/>
      <c r="AO123" s="535"/>
      <c r="AP123" s="535"/>
      <c r="AQ123" s="184"/>
      <c r="AR123" s="184"/>
      <c r="AS123" s="184"/>
      <c r="AT123" s="184"/>
      <c r="AU123" s="184"/>
      <c r="AV123" s="184"/>
      <c r="AW123" s="184"/>
      <c r="AX123" s="184"/>
      <c r="AY123" s="61"/>
      <c r="AZ123" s="61"/>
      <c r="BA123" s="61"/>
      <c r="BB123" s="61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</row>
    <row r="124" spans="1:73" ht="22.8">
      <c r="C124" s="135"/>
      <c r="D124" s="587"/>
      <c r="E124" s="534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586"/>
      <c r="Q124" s="586"/>
      <c r="R124" s="586"/>
      <c r="S124" s="586"/>
      <c r="T124" s="586"/>
      <c r="U124" s="586"/>
      <c r="V124" s="586"/>
      <c r="W124" s="586"/>
      <c r="X124" s="586"/>
      <c r="Y124" s="535"/>
      <c r="Z124" s="535"/>
      <c r="AA124" s="535"/>
      <c r="AB124" s="535"/>
      <c r="AC124" s="535"/>
      <c r="AD124" s="535"/>
      <c r="AE124" s="535"/>
      <c r="AF124" s="535"/>
      <c r="AG124" s="535"/>
      <c r="AH124" s="535"/>
      <c r="AI124" s="535"/>
      <c r="AJ124" s="535"/>
      <c r="AK124" s="535"/>
      <c r="AL124" s="535"/>
      <c r="AM124" s="535"/>
      <c r="AN124" s="535"/>
      <c r="AO124" s="535"/>
      <c r="AP124" s="535"/>
      <c r="AQ124" s="184"/>
      <c r="AR124" s="184"/>
      <c r="AS124" s="184"/>
      <c r="AT124" s="184"/>
      <c r="AU124" s="184"/>
      <c r="AV124" s="184"/>
      <c r="AW124" s="184"/>
      <c r="AX124" s="184"/>
      <c r="AY124" s="61"/>
      <c r="AZ124" s="61"/>
      <c r="BA124" s="61"/>
      <c r="BB124" s="61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</row>
    <row r="125" spans="1:73" ht="22.8">
      <c r="C125" s="61"/>
      <c r="D125" s="533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588"/>
      <c r="V125" s="588"/>
      <c r="W125" s="61"/>
      <c r="X125" s="534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184"/>
      <c r="AR125" s="184"/>
      <c r="AS125" s="184"/>
      <c r="AT125" s="184"/>
      <c r="AU125" s="184"/>
      <c r="AV125" s="184"/>
      <c r="AW125" s="184"/>
      <c r="AX125" s="184"/>
      <c r="AY125" s="535"/>
      <c r="AZ125" s="535"/>
      <c r="BA125" s="535"/>
      <c r="BB125" s="535"/>
      <c r="BC125" s="535"/>
      <c r="BD125" s="535"/>
      <c r="BE125" s="535"/>
      <c r="BF125" s="535"/>
      <c r="BG125" s="61"/>
      <c r="BH125" s="61"/>
      <c r="BI125" s="61"/>
      <c r="BJ125" s="61"/>
      <c r="BK125" s="61"/>
      <c r="BL125" s="61"/>
      <c r="BM125" s="172"/>
      <c r="BN125" s="172"/>
      <c r="BO125" s="172"/>
      <c r="BP125" s="172"/>
      <c r="BQ125" s="172"/>
      <c r="BR125" s="172"/>
      <c r="BS125" s="172"/>
      <c r="BT125" s="172"/>
      <c r="BU125" s="172"/>
    </row>
    <row r="126" spans="1:73" ht="22.8">
      <c r="C126" s="61"/>
      <c r="D126" s="533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534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184"/>
      <c r="AR126" s="184"/>
      <c r="AS126" s="184"/>
      <c r="AT126" s="184"/>
      <c r="AU126" s="184"/>
      <c r="AV126" s="184"/>
      <c r="AW126" s="184"/>
      <c r="AX126" s="184"/>
      <c r="AY126" s="535"/>
      <c r="AZ126" s="535"/>
      <c r="BA126" s="535"/>
      <c r="BB126" s="535"/>
      <c r="BC126" s="535"/>
      <c r="BD126" s="535"/>
      <c r="BE126" s="535"/>
      <c r="BF126" s="535"/>
      <c r="BG126" s="61"/>
      <c r="BH126" s="61"/>
      <c r="BI126" s="61"/>
      <c r="BJ126" s="61"/>
      <c r="BK126" s="61"/>
      <c r="BL126" s="61"/>
      <c r="BM126" s="172"/>
      <c r="BN126" s="172"/>
      <c r="BO126" s="172"/>
      <c r="BP126" s="172"/>
      <c r="BQ126" s="172"/>
      <c r="BR126" s="172"/>
      <c r="BS126" s="172"/>
      <c r="BT126" s="172"/>
      <c r="BU126" s="172"/>
    </row>
    <row r="127" spans="1:73" ht="22.8">
      <c r="C127" s="61"/>
      <c r="D127" s="533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534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184"/>
      <c r="AR127" s="184"/>
      <c r="AS127" s="184"/>
      <c r="AT127" s="184"/>
      <c r="AU127" s="184"/>
      <c r="AV127" s="184"/>
      <c r="AW127" s="184"/>
      <c r="AX127" s="184"/>
      <c r="AY127" s="535"/>
      <c r="AZ127" s="535"/>
      <c r="BA127" s="535"/>
      <c r="BB127" s="535"/>
      <c r="BC127" s="535"/>
      <c r="BD127" s="535"/>
      <c r="BE127" s="535"/>
      <c r="BF127" s="535"/>
      <c r="BG127" s="61"/>
      <c r="BH127" s="61"/>
      <c r="BI127" s="61"/>
      <c r="BJ127" s="61"/>
      <c r="BK127" s="61"/>
      <c r="BL127" s="61"/>
      <c r="BM127" s="172"/>
      <c r="BN127" s="172"/>
      <c r="BO127" s="172"/>
      <c r="BP127" s="172"/>
      <c r="BQ127" s="172"/>
      <c r="BR127" s="172"/>
      <c r="BS127" s="172"/>
      <c r="BT127" s="172"/>
      <c r="BU127" s="172"/>
    </row>
  </sheetData>
  <mergeCells count="5">
    <mergeCell ref="C2:X2"/>
    <mergeCell ref="F4:P4"/>
    <mergeCell ref="S4:W4"/>
    <mergeCell ref="AJ4:AM4"/>
    <mergeCell ref="AN4:AP4"/>
  </mergeCells>
  <printOptions horizontalCentered="1"/>
  <pageMargins left="0" right="0" top="1.3779527559055118" bottom="0.55118110236220474" header="0.9055118110236221" footer="0.31496062992125984"/>
  <pageSetup paperSize="9" scale="85" fitToWidth="0" fitToHeight="0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2"/>
  <sheetViews>
    <sheetView rightToLeft="1" tabSelected="1" topLeftCell="A48" zoomScaleNormal="100" workbookViewId="0">
      <selection activeCell="M31" sqref="M31"/>
    </sheetView>
  </sheetViews>
  <sheetFormatPr defaultColWidth="9.109375" defaultRowHeight="13.8"/>
  <cols>
    <col min="1" max="1" width="9.5546875" style="238" customWidth="1"/>
    <col min="2" max="2" width="48.33203125" style="162" customWidth="1"/>
    <col min="3" max="3" width="18.6640625" style="148" customWidth="1"/>
    <col min="4" max="4" width="21.5546875" style="184" customWidth="1"/>
    <col min="5" max="5" width="5" style="184" customWidth="1"/>
    <col min="6" max="6" width="29.44140625" style="184" customWidth="1"/>
    <col min="7" max="7" width="12.6640625" style="184" customWidth="1"/>
    <col min="8" max="16384" width="9.109375" style="184"/>
  </cols>
  <sheetData>
    <row r="2" spans="1:7" ht="18">
      <c r="A2" s="180" t="s">
        <v>251</v>
      </c>
      <c r="B2" s="288"/>
      <c r="C2" s="173"/>
    </row>
    <row r="3" spans="1:7" ht="18">
      <c r="A3" s="180" t="s">
        <v>1361</v>
      </c>
      <c r="B3" s="1"/>
      <c r="C3" s="179"/>
    </row>
    <row r="4" spans="1:7" ht="18">
      <c r="A4" s="234"/>
      <c r="B4" s="260"/>
      <c r="C4" s="234"/>
    </row>
    <row r="5" spans="1:7" ht="19.95" customHeight="1">
      <c r="A5" s="14" t="s">
        <v>1</v>
      </c>
      <c r="B5" s="14" t="s">
        <v>2</v>
      </c>
      <c r="C5" s="14" t="s">
        <v>3</v>
      </c>
    </row>
    <row r="6" spans="1:7" s="374" customFormat="1" ht="19.95" customHeight="1">
      <c r="A6" s="241">
        <v>1912</v>
      </c>
      <c r="B6" s="153" t="s">
        <v>640</v>
      </c>
      <c r="C6" s="154">
        <v>430000000</v>
      </c>
      <c r="D6" s="184"/>
      <c r="E6" s="184"/>
      <c r="F6" s="184"/>
      <c r="G6" s="184"/>
    </row>
    <row r="7" spans="1:7" s="374" customFormat="1" ht="19.95" customHeight="1">
      <c r="A7" s="241">
        <v>2153</v>
      </c>
      <c r="B7" s="153" t="s">
        <v>455</v>
      </c>
      <c r="C7" s="428">
        <v>220000000</v>
      </c>
    </row>
    <row r="8" spans="1:7" s="374" customFormat="1" ht="19.95" customHeight="1">
      <c r="A8" s="153">
        <v>1909</v>
      </c>
      <c r="B8" s="153" t="s">
        <v>639</v>
      </c>
      <c r="C8" s="154">
        <v>184500000</v>
      </c>
      <c r="D8" s="184"/>
      <c r="E8" s="184"/>
      <c r="F8" s="184"/>
      <c r="G8" s="184"/>
    </row>
    <row r="9" spans="1:7" s="374" customFormat="1" ht="19.95" customHeight="1">
      <c r="A9" s="153">
        <v>1547</v>
      </c>
      <c r="B9" s="153" t="s">
        <v>421</v>
      </c>
      <c r="C9" s="154">
        <v>144000000</v>
      </c>
      <c r="D9" s="184"/>
      <c r="E9" s="184"/>
      <c r="F9" s="184"/>
      <c r="G9" s="184"/>
    </row>
    <row r="10" spans="1:7" s="374" customFormat="1" ht="19.95" customHeight="1">
      <c r="A10" s="28">
        <v>1919</v>
      </c>
      <c r="B10" s="153" t="s">
        <v>110</v>
      </c>
      <c r="C10" s="154">
        <v>135100000</v>
      </c>
      <c r="D10" s="184"/>
      <c r="E10" s="184"/>
      <c r="F10" s="184"/>
      <c r="G10" s="184"/>
    </row>
    <row r="11" spans="1:7" s="374" customFormat="1" ht="19.95" customHeight="1">
      <c r="A11" s="241">
        <v>1961</v>
      </c>
      <c r="B11" s="153" t="s">
        <v>128</v>
      </c>
      <c r="C11" s="154">
        <v>128000000</v>
      </c>
      <c r="D11" s="184"/>
      <c r="E11" s="184"/>
      <c r="F11" s="184"/>
      <c r="G11" s="184"/>
    </row>
    <row r="12" spans="1:7" s="374" customFormat="1" ht="19.95" customHeight="1">
      <c r="A12" s="153">
        <v>382</v>
      </c>
      <c r="B12" s="153" t="s">
        <v>636</v>
      </c>
      <c r="C12" s="154">
        <v>111381330</v>
      </c>
      <c r="D12" s="184"/>
      <c r="E12" s="184"/>
      <c r="F12" s="184"/>
      <c r="G12" s="184"/>
    </row>
    <row r="13" spans="1:7" s="374" customFormat="1" ht="19.95" customHeight="1">
      <c r="A13" s="153">
        <v>1312</v>
      </c>
      <c r="B13" s="153" t="s">
        <v>34</v>
      </c>
      <c r="C13" s="154">
        <v>105451000</v>
      </c>
      <c r="D13" s="184"/>
      <c r="E13" s="184"/>
      <c r="F13" s="184"/>
      <c r="G13" s="184"/>
    </row>
    <row r="14" spans="1:7" s="374" customFormat="1" ht="19.95" customHeight="1">
      <c r="A14" s="153">
        <v>1827</v>
      </c>
      <c r="B14" s="259" t="s">
        <v>638</v>
      </c>
      <c r="C14" s="154">
        <v>100000000</v>
      </c>
      <c r="D14" s="184"/>
      <c r="E14" s="184"/>
      <c r="F14" s="184"/>
      <c r="G14" s="184"/>
    </row>
    <row r="15" spans="1:7" s="374" customFormat="1" ht="19.95" customHeight="1">
      <c r="A15" s="153">
        <v>2206</v>
      </c>
      <c r="B15" s="153" t="s">
        <v>546</v>
      </c>
      <c r="C15" s="154">
        <v>92000000</v>
      </c>
      <c r="D15" s="184"/>
      <c r="E15" s="184"/>
      <c r="F15" s="184"/>
      <c r="G15" s="184"/>
    </row>
    <row r="16" spans="1:7" s="374" customFormat="1" ht="19.95" customHeight="1">
      <c r="A16" s="153">
        <v>532</v>
      </c>
      <c r="B16" s="153" t="s">
        <v>72</v>
      </c>
      <c r="C16" s="154">
        <v>80090000</v>
      </c>
      <c r="D16" s="184"/>
      <c r="E16" s="184"/>
      <c r="F16" s="184"/>
      <c r="G16" s="184"/>
    </row>
    <row r="17" spans="1:7" s="374" customFormat="1" ht="19.95" customHeight="1">
      <c r="A17" s="3">
        <v>2011</v>
      </c>
      <c r="B17" s="28" t="s">
        <v>844</v>
      </c>
      <c r="C17" s="4">
        <v>80000000</v>
      </c>
      <c r="D17" s="184"/>
      <c r="E17" s="184"/>
      <c r="F17" s="184"/>
      <c r="G17" s="184"/>
    </row>
    <row r="18" spans="1:7" s="374" customFormat="1" ht="19.95" customHeight="1">
      <c r="A18" s="241">
        <v>2201</v>
      </c>
      <c r="B18" s="153" t="s">
        <v>544</v>
      </c>
      <c r="C18" s="154">
        <v>80000000</v>
      </c>
      <c r="D18" s="184"/>
      <c r="E18" s="184"/>
      <c r="F18" s="184"/>
      <c r="G18" s="184"/>
    </row>
    <row r="19" spans="1:7" s="374" customFormat="1" ht="19.95" customHeight="1">
      <c r="A19" s="28">
        <v>2097</v>
      </c>
      <c r="B19" s="153" t="s">
        <v>278</v>
      </c>
      <c r="C19" s="154">
        <v>79000000</v>
      </c>
      <c r="D19" s="184"/>
      <c r="E19" s="184"/>
      <c r="F19" s="184"/>
      <c r="G19" s="184"/>
    </row>
    <row r="20" spans="1:7" s="374" customFormat="1" ht="19.95" customHeight="1">
      <c r="A20" s="153">
        <v>1834</v>
      </c>
      <c r="B20" s="153" t="s">
        <v>102</v>
      </c>
      <c r="C20" s="300">
        <v>62000000</v>
      </c>
      <c r="D20" s="184"/>
      <c r="E20" s="184"/>
      <c r="F20" s="184"/>
      <c r="G20" s="184"/>
    </row>
    <row r="21" spans="1:7" s="374" customFormat="1" ht="19.95" customHeight="1">
      <c r="A21" s="153">
        <v>1657</v>
      </c>
      <c r="B21" s="153" t="s">
        <v>27</v>
      </c>
      <c r="C21" s="154">
        <v>60000000</v>
      </c>
      <c r="D21" s="184"/>
      <c r="E21" s="184"/>
      <c r="F21" s="184"/>
      <c r="G21" s="184"/>
    </row>
    <row r="22" spans="1:7" s="374" customFormat="1" ht="19.95" customHeight="1">
      <c r="A22" s="241">
        <v>1957</v>
      </c>
      <c r="B22" s="153" t="s">
        <v>273</v>
      </c>
      <c r="C22" s="154">
        <v>60000000</v>
      </c>
      <c r="D22" s="184"/>
      <c r="E22" s="184"/>
      <c r="F22" s="184"/>
      <c r="G22" s="184"/>
    </row>
    <row r="23" spans="1:7" s="374" customFormat="1" ht="19.95" customHeight="1">
      <c r="A23" s="153">
        <v>576</v>
      </c>
      <c r="B23" s="153" t="s">
        <v>73</v>
      </c>
      <c r="C23" s="154">
        <v>58113000</v>
      </c>
      <c r="D23" s="184"/>
      <c r="E23" s="184"/>
      <c r="F23" s="184"/>
      <c r="G23" s="184"/>
    </row>
    <row r="24" spans="1:7" s="374" customFormat="1" ht="19.95" customHeight="1">
      <c r="A24" s="153">
        <v>2015</v>
      </c>
      <c r="B24" s="259" t="s">
        <v>804</v>
      </c>
      <c r="C24" s="154">
        <v>54000000</v>
      </c>
      <c r="D24" s="184"/>
      <c r="E24" s="184"/>
      <c r="F24" s="184"/>
      <c r="G24" s="184"/>
    </row>
    <row r="25" spans="1:7" s="374" customFormat="1" ht="19.95" customHeight="1">
      <c r="A25" s="153">
        <v>2151</v>
      </c>
      <c r="B25" s="153" t="s">
        <v>424</v>
      </c>
      <c r="C25" s="154">
        <v>54000000</v>
      </c>
      <c r="D25" s="184"/>
      <c r="E25" s="184"/>
      <c r="F25" s="184"/>
      <c r="G25" s="184"/>
    </row>
    <row r="26" spans="1:7" s="374" customFormat="1" ht="19.95" customHeight="1">
      <c r="A26" s="153">
        <v>1835</v>
      </c>
      <c r="B26" s="153" t="s">
        <v>353</v>
      </c>
      <c r="C26" s="154">
        <v>51500000</v>
      </c>
      <c r="D26" s="184"/>
      <c r="E26" s="184"/>
      <c r="F26" s="184"/>
      <c r="G26" s="184"/>
    </row>
    <row r="27" spans="1:7" s="374" customFormat="1" ht="19.95" customHeight="1">
      <c r="A27" s="153">
        <v>1588</v>
      </c>
      <c r="B27" s="153" t="s">
        <v>25</v>
      </c>
      <c r="C27" s="154">
        <v>50500000</v>
      </c>
      <c r="D27" s="184"/>
      <c r="E27" s="184"/>
      <c r="F27" s="184"/>
      <c r="G27" s="184"/>
    </row>
    <row r="28" spans="1:7" s="374" customFormat="1" ht="19.95" customHeight="1">
      <c r="A28" s="241">
        <v>2202</v>
      </c>
      <c r="B28" s="153" t="s">
        <v>545</v>
      </c>
      <c r="C28" s="154">
        <v>49000000</v>
      </c>
      <c r="D28" s="184"/>
      <c r="E28" s="184"/>
      <c r="F28" s="184"/>
      <c r="G28" s="184"/>
    </row>
    <row r="29" spans="1:7" s="374" customFormat="1" ht="19.95" customHeight="1">
      <c r="A29" s="28">
        <v>2209</v>
      </c>
      <c r="B29" s="3" t="s">
        <v>549</v>
      </c>
      <c r="C29" s="4">
        <v>46500000</v>
      </c>
      <c r="D29" s="184"/>
      <c r="E29" s="184"/>
      <c r="F29" s="184"/>
      <c r="G29" s="184"/>
    </row>
    <row r="30" spans="1:7" s="374" customFormat="1" ht="19.95" customHeight="1">
      <c r="A30" s="153">
        <v>1207</v>
      </c>
      <c r="B30" s="153" t="s">
        <v>75</v>
      </c>
      <c r="C30" s="154">
        <v>45650000</v>
      </c>
      <c r="D30" s="184"/>
      <c r="E30" s="184"/>
      <c r="F30" s="184"/>
      <c r="G30" s="184"/>
    </row>
    <row r="31" spans="1:7" s="374" customFormat="1" ht="19.95" customHeight="1">
      <c r="A31" s="153">
        <v>1238</v>
      </c>
      <c r="B31" s="153" t="s">
        <v>1355</v>
      </c>
      <c r="C31" s="154">
        <v>40500000</v>
      </c>
      <c r="D31" s="184"/>
      <c r="E31" s="184"/>
      <c r="F31" s="184"/>
      <c r="G31" s="184"/>
    </row>
    <row r="32" spans="1:7" s="374" customFormat="1" ht="19.95" customHeight="1">
      <c r="A32" s="153">
        <v>1375</v>
      </c>
      <c r="B32" s="153" t="s">
        <v>352</v>
      </c>
      <c r="C32" s="154">
        <v>40150000</v>
      </c>
      <c r="D32" s="184"/>
      <c r="E32" s="184"/>
      <c r="F32" s="184"/>
      <c r="G32" s="184"/>
    </row>
    <row r="33" spans="1:7" s="374" customFormat="1" ht="19.95" customHeight="1">
      <c r="A33" s="241">
        <v>2185</v>
      </c>
      <c r="B33" s="153" t="s">
        <v>484</v>
      </c>
      <c r="C33" s="154">
        <v>40000000</v>
      </c>
      <c r="D33" s="184"/>
      <c r="E33" s="184"/>
      <c r="F33" s="184"/>
      <c r="G33" s="184"/>
    </row>
    <row r="34" spans="1:7" s="374" customFormat="1" ht="19.95" customHeight="1">
      <c r="A34" s="153">
        <v>2017</v>
      </c>
      <c r="B34" s="245" t="s">
        <v>845</v>
      </c>
      <c r="C34" s="154">
        <v>37100000</v>
      </c>
      <c r="D34" s="184"/>
      <c r="E34" s="184"/>
      <c r="F34" s="184"/>
      <c r="G34" s="184"/>
    </row>
    <row r="35" spans="1:7" s="374" customFormat="1" ht="19.95" customHeight="1">
      <c r="A35" s="153">
        <v>1965</v>
      </c>
      <c r="B35" s="153" t="s">
        <v>282</v>
      </c>
      <c r="C35" s="154">
        <v>35000000</v>
      </c>
      <c r="D35" s="184"/>
      <c r="E35" s="184"/>
      <c r="F35" s="184"/>
      <c r="G35" s="184"/>
    </row>
    <row r="36" spans="1:7" s="374" customFormat="1" ht="19.95" customHeight="1">
      <c r="A36" s="241">
        <v>1921</v>
      </c>
      <c r="B36" s="153" t="s">
        <v>111</v>
      </c>
      <c r="C36" s="300">
        <v>29716000</v>
      </c>
      <c r="D36" s="184"/>
      <c r="E36" s="184"/>
      <c r="F36" s="184"/>
      <c r="G36" s="184"/>
    </row>
    <row r="37" spans="1:7" s="374" customFormat="1" ht="19.95" customHeight="1">
      <c r="A37" s="241">
        <v>1833</v>
      </c>
      <c r="B37" s="153" t="s">
        <v>108</v>
      </c>
      <c r="C37" s="154">
        <v>29000000</v>
      </c>
      <c r="D37" s="184"/>
      <c r="E37" s="184"/>
      <c r="F37" s="184"/>
      <c r="G37" s="184"/>
    </row>
    <row r="38" spans="1:7" s="374" customFormat="1" ht="19.95" customHeight="1">
      <c r="A38" s="153">
        <v>1615</v>
      </c>
      <c r="B38" s="153" t="s">
        <v>104</v>
      </c>
      <c r="C38" s="154">
        <v>27700000</v>
      </c>
      <c r="D38" s="184"/>
      <c r="E38" s="184"/>
      <c r="F38" s="184"/>
      <c r="G38" s="184"/>
    </row>
    <row r="39" spans="1:7" s="374" customFormat="1" ht="19.95" customHeight="1">
      <c r="A39" s="153">
        <v>1911</v>
      </c>
      <c r="B39" s="153" t="s">
        <v>280</v>
      </c>
      <c r="C39" s="154">
        <v>27236240</v>
      </c>
      <c r="D39" s="184"/>
      <c r="E39" s="184"/>
      <c r="F39" s="184"/>
      <c r="G39" s="184"/>
    </row>
    <row r="40" spans="1:7" s="374" customFormat="1" ht="19.95" customHeight="1">
      <c r="A40" s="241">
        <v>20004</v>
      </c>
      <c r="B40" s="153" t="s">
        <v>690</v>
      </c>
      <c r="C40" s="154">
        <v>24750000</v>
      </c>
      <c r="D40" s="184"/>
      <c r="E40" s="184"/>
      <c r="F40" s="184"/>
      <c r="G40" s="184"/>
    </row>
    <row r="41" spans="1:7" s="374" customFormat="1" ht="19.95" customHeight="1">
      <c r="A41" s="153">
        <v>1960</v>
      </c>
      <c r="B41" s="153" t="s">
        <v>281</v>
      </c>
      <c r="C41" s="154">
        <v>24710000</v>
      </c>
      <c r="D41" s="184"/>
      <c r="E41" s="184"/>
      <c r="F41" s="184"/>
      <c r="G41" s="184"/>
    </row>
    <row r="42" spans="1:7" s="374" customFormat="1" ht="19.95" customHeight="1">
      <c r="A42" s="28">
        <v>2101</v>
      </c>
      <c r="B42" s="153" t="s">
        <v>637</v>
      </c>
      <c r="C42" s="154">
        <v>24200000</v>
      </c>
      <c r="D42" s="184"/>
      <c r="E42" s="184"/>
      <c r="F42" s="184"/>
      <c r="G42" s="184"/>
    </row>
    <row r="43" spans="1:7" s="374" customFormat="1" ht="19.95" customHeight="1">
      <c r="A43" s="28">
        <v>2150</v>
      </c>
      <c r="B43" s="3" t="s">
        <v>848</v>
      </c>
      <c r="C43" s="4">
        <v>23500000</v>
      </c>
      <c r="D43" s="184"/>
      <c r="E43" s="184"/>
      <c r="F43" s="184"/>
      <c r="G43" s="184"/>
    </row>
    <row r="44" spans="1:7" s="374" customFormat="1" ht="19.95" customHeight="1">
      <c r="A44" s="153">
        <v>2196</v>
      </c>
      <c r="B44" s="153" t="s">
        <v>569</v>
      </c>
      <c r="C44" s="154">
        <v>21135000</v>
      </c>
      <c r="D44" s="184"/>
      <c r="E44" s="184"/>
      <c r="F44" s="184"/>
      <c r="G44" s="184"/>
    </row>
    <row r="45" spans="1:7" s="374" customFormat="1" ht="19.95" customHeight="1">
      <c r="A45" s="153">
        <v>2175</v>
      </c>
      <c r="B45" s="153" t="s">
        <v>481</v>
      </c>
      <c r="C45" s="154">
        <v>21000000</v>
      </c>
      <c r="D45" s="184"/>
      <c r="E45" s="184"/>
      <c r="F45" s="184"/>
      <c r="G45" s="184"/>
    </row>
    <row r="46" spans="1:7" s="374" customFormat="1" ht="19.95" customHeight="1">
      <c r="A46" s="28">
        <v>2233</v>
      </c>
      <c r="B46" s="153" t="s">
        <v>677</v>
      </c>
      <c r="C46" s="154">
        <v>20250000</v>
      </c>
      <c r="D46" s="184"/>
      <c r="E46" s="184"/>
      <c r="F46" s="184"/>
      <c r="G46" s="184"/>
    </row>
    <row r="47" spans="1:7" s="374" customFormat="1" ht="19.95" customHeight="1">
      <c r="A47" s="241">
        <v>1962</v>
      </c>
      <c r="B47" s="153" t="s">
        <v>129</v>
      </c>
      <c r="C47" s="154">
        <v>20000000</v>
      </c>
      <c r="D47" s="184"/>
      <c r="E47" s="184"/>
      <c r="F47" s="184"/>
      <c r="G47" s="184"/>
    </row>
    <row r="48" spans="1:7" s="374" customFormat="1" ht="19.95" customHeight="1">
      <c r="A48" s="3">
        <v>1908</v>
      </c>
      <c r="B48" s="3" t="s">
        <v>121</v>
      </c>
      <c r="C48" s="4">
        <v>19054496</v>
      </c>
      <c r="D48" s="184"/>
      <c r="E48" s="184"/>
      <c r="F48" s="184"/>
      <c r="G48" s="184"/>
    </row>
    <row r="49" spans="1:7" s="374" customFormat="1" ht="19.95" customHeight="1">
      <c r="A49" s="3">
        <v>1357</v>
      </c>
      <c r="B49" s="3" t="s">
        <v>43</v>
      </c>
      <c r="C49" s="4">
        <v>18812000</v>
      </c>
      <c r="D49" s="184"/>
      <c r="E49" s="184"/>
      <c r="F49" s="184"/>
      <c r="G49" s="184"/>
    </row>
    <row r="50" spans="1:7" s="374" customFormat="1" ht="19.95" customHeight="1">
      <c r="A50" s="3">
        <v>1322</v>
      </c>
      <c r="B50" s="3" t="s">
        <v>35</v>
      </c>
      <c r="C50" s="4">
        <v>18500000</v>
      </c>
      <c r="D50" s="184"/>
      <c r="E50" s="184"/>
      <c r="F50" s="184"/>
      <c r="G50" s="184"/>
    </row>
    <row r="51" spans="1:7" s="374" customFormat="1" ht="19.95" customHeight="1">
      <c r="A51" s="3">
        <v>2001</v>
      </c>
      <c r="B51" s="3" t="s">
        <v>133</v>
      </c>
      <c r="C51" s="4">
        <v>18500000</v>
      </c>
      <c r="D51" s="184"/>
      <c r="E51" s="184"/>
      <c r="F51" s="184"/>
      <c r="G51" s="184"/>
    </row>
    <row r="52" spans="1:7" s="374" customFormat="1" ht="19.95" customHeight="1">
      <c r="A52" s="153">
        <v>20011</v>
      </c>
      <c r="B52" s="259" t="s">
        <v>753</v>
      </c>
      <c r="C52" s="154">
        <v>18500000</v>
      </c>
      <c r="D52" s="184"/>
      <c r="E52" s="184"/>
      <c r="F52" s="184"/>
      <c r="G52" s="184"/>
    </row>
    <row r="53" spans="1:7" s="374" customFormat="1" ht="19.95" customHeight="1">
      <c r="A53" s="241">
        <v>1819</v>
      </c>
      <c r="B53" s="153" t="s">
        <v>395</v>
      </c>
      <c r="C53" s="154">
        <v>18000000</v>
      </c>
      <c r="D53" s="184"/>
      <c r="E53" s="184"/>
      <c r="F53" s="184"/>
      <c r="G53" s="184"/>
    </row>
    <row r="54" spans="1:7" s="374" customFormat="1" ht="19.95" customHeight="1">
      <c r="A54" s="3">
        <v>2205</v>
      </c>
      <c r="B54" s="3" t="s">
        <v>496</v>
      </c>
      <c r="C54" s="4">
        <v>18000000</v>
      </c>
      <c r="D54" s="184"/>
      <c r="E54" s="184"/>
      <c r="F54" s="184"/>
      <c r="G54" s="184"/>
    </row>
    <row r="55" spans="1:7" s="374" customFormat="1" ht="19.95" customHeight="1">
      <c r="A55" s="3">
        <v>1670</v>
      </c>
      <c r="B55" s="3" t="s">
        <v>95</v>
      </c>
      <c r="C55" s="4">
        <v>17800000</v>
      </c>
      <c r="D55" s="184"/>
      <c r="E55" s="184"/>
      <c r="F55" s="184"/>
      <c r="G55" s="184"/>
    </row>
    <row r="56" spans="1:7" s="374" customFormat="1" ht="19.95" customHeight="1">
      <c r="A56" s="28">
        <v>2099</v>
      </c>
      <c r="B56" s="153" t="s">
        <v>279</v>
      </c>
      <c r="C56" s="300">
        <v>17650000</v>
      </c>
      <c r="D56" s="184"/>
      <c r="E56" s="184"/>
      <c r="F56" s="184"/>
      <c r="G56" s="184"/>
    </row>
    <row r="57" spans="1:7" s="374" customFormat="1" ht="19.95" customHeight="1">
      <c r="A57" s="241">
        <v>2232</v>
      </c>
      <c r="B57" s="153" t="s">
        <v>676</v>
      </c>
      <c r="C57" s="428">
        <v>17200000</v>
      </c>
    </row>
    <row r="58" spans="1:7" ht="19.95" customHeight="1">
      <c r="A58" s="153">
        <v>2024</v>
      </c>
      <c r="B58" s="153" t="s">
        <v>275</v>
      </c>
      <c r="C58" s="154">
        <v>16300000</v>
      </c>
    </row>
    <row r="59" spans="1:7" ht="19.95" customHeight="1">
      <c r="A59" s="241">
        <v>2198</v>
      </c>
      <c r="B59" s="153" t="s">
        <v>571</v>
      </c>
      <c r="C59" s="154">
        <v>16030000</v>
      </c>
    </row>
    <row r="60" spans="1:7" ht="19.95" customHeight="1">
      <c r="A60" s="28">
        <v>2110</v>
      </c>
      <c r="B60" s="3" t="s">
        <v>264</v>
      </c>
      <c r="C60" s="4">
        <v>16000000</v>
      </c>
    </row>
    <row r="61" spans="1:7" ht="19.95" customHeight="1">
      <c r="A61" s="241">
        <v>2152</v>
      </c>
      <c r="B61" s="153" t="s">
        <v>425</v>
      </c>
      <c r="C61" s="154">
        <v>16000000</v>
      </c>
    </row>
    <row r="62" spans="1:7" s="406" customFormat="1" ht="19.95" customHeight="1">
      <c r="A62" s="609"/>
      <c r="B62" s="610"/>
      <c r="C62" s="611"/>
    </row>
    <row r="63" spans="1:7" s="406" customFormat="1" ht="19.95" customHeight="1">
      <c r="A63" s="610"/>
      <c r="B63" s="610"/>
      <c r="C63" s="611"/>
    </row>
    <row r="64" spans="1:7" s="406" customFormat="1" ht="19.95" customHeight="1">
      <c r="A64" s="609"/>
      <c r="B64" s="21"/>
      <c r="C64" s="612"/>
    </row>
    <row r="65" spans="1:3" s="406" customFormat="1" ht="19.95" customHeight="1">
      <c r="A65" s="610"/>
      <c r="B65" s="610"/>
      <c r="C65" s="611"/>
    </row>
    <row r="66" spans="1:3" s="406" customFormat="1" ht="19.95" customHeight="1">
      <c r="A66" s="609"/>
      <c r="B66" s="21"/>
      <c r="C66" s="612"/>
    </row>
    <row r="67" spans="1:3" s="406" customFormat="1" ht="19.95" customHeight="1">
      <c r="A67" s="21"/>
      <c r="B67" s="21"/>
      <c r="C67" s="612"/>
    </row>
    <row r="68" spans="1:3" s="406" customFormat="1" ht="19.95" customHeight="1">
      <c r="A68" s="609"/>
      <c r="B68" s="21"/>
      <c r="C68" s="612"/>
    </row>
    <row r="69" spans="1:3" s="406" customFormat="1" ht="19.95" customHeight="1">
      <c r="A69" s="613"/>
      <c r="B69" s="614"/>
      <c r="C69" s="611"/>
    </row>
    <row r="70" spans="1:3" s="406" customFormat="1" ht="19.95" customHeight="1">
      <c r="A70" s="610"/>
      <c r="B70" s="610"/>
      <c r="C70" s="611"/>
    </row>
    <row r="71" spans="1:3" s="406" customFormat="1" ht="19.95" customHeight="1">
      <c r="A71" s="613"/>
      <c r="B71" s="610"/>
      <c r="C71" s="611"/>
    </row>
    <row r="72" spans="1:3" s="406" customFormat="1" ht="19.95" customHeight="1">
      <c r="A72" s="610"/>
      <c r="B72" s="610"/>
      <c r="C72" s="611"/>
    </row>
    <row r="73" spans="1:3" s="406" customFormat="1" ht="19.95" customHeight="1">
      <c r="A73" s="613"/>
      <c r="B73" s="610"/>
      <c r="C73" s="611"/>
    </row>
    <row r="74" spans="1:3" s="406" customFormat="1" ht="19.95" customHeight="1">
      <c r="A74" s="610"/>
      <c r="B74" s="610"/>
      <c r="C74" s="611"/>
    </row>
    <row r="75" spans="1:3" s="406" customFormat="1" ht="19.95" customHeight="1">
      <c r="A75" s="610"/>
      <c r="B75" s="610"/>
      <c r="C75" s="611"/>
    </row>
    <row r="76" spans="1:3" s="406" customFormat="1" ht="19.95" customHeight="1">
      <c r="A76" s="609"/>
      <c r="B76" s="610"/>
      <c r="C76" s="611"/>
    </row>
    <row r="77" spans="1:3" s="406" customFormat="1" ht="19.95" customHeight="1">
      <c r="A77" s="613"/>
      <c r="B77" s="610"/>
      <c r="C77" s="611"/>
    </row>
    <row r="78" spans="1:3" s="406" customFormat="1" ht="19.95" customHeight="1">
      <c r="A78" s="610"/>
      <c r="B78" s="610"/>
      <c r="C78" s="611"/>
    </row>
    <row r="79" spans="1:3" s="406" customFormat="1" ht="19.95" customHeight="1">
      <c r="A79" s="613"/>
      <c r="B79" s="610"/>
      <c r="C79" s="611"/>
    </row>
    <row r="80" spans="1:3" s="406" customFormat="1" ht="19.95" customHeight="1">
      <c r="A80" s="613"/>
      <c r="B80" s="610"/>
      <c r="C80" s="611"/>
    </row>
    <row r="81" spans="1:3" s="406" customFormat="1" ht="19.95" customHeight="1">
      <c r="A81" s="21"/>
      <c r="B81" s="21"/>
      <c r="C81" s="612"/>
    </row>
    <row r="82" spans="1:3" s="406" customFormat="1" ht="19.95" customHeight="1">
      <c r="A82" s="610"/>
      <c r="B82" s="610"/>
      <c r="C82" s="611"/>
    </row>
    <row r="83" spans="1:3" s="406" customFormat="1" ht="19.95" customHeight="1">
      <c r="A83" s="21"/>
      <c r="B83" s="21"/>
      <c r="C83" s="612"/>
    </row>
    <row r="84" spans="1:3" s="406" customFormat="1" ht="19.95" customHeight="1">
      <c r="A84" s="609"/>
      <c r="B84" s="610"/>
      <c r="C84" s="611"/>
    </row>
    <row r="85" spans="1:3" s="406" customFormat="1" ht="19.95" customHeight="1">
      <c r="A85" s="613"/>
      <c r="B85" s="610"/>
      <c r="C85" s="611"/>
    </row>
    <row r="86" spans="1:3" s="406" customFormat="1" ht="19.95" customHeight="1">
      <c r="A86" s="613"/>
      <c r="B86" s="610"/>
      <c r="C86" s="611"/>
    </row>
    <row r="87" spans="1:3" s="406" customFormat="1" ht="19.95" customHeight="1">
      <c r="A87" s="610"/>
      <c r="B87" s="610"/>
      <c r="C87" s="611"/>
    </row>
    <row r="88" spans="1:3" s="406" customFormat="1" ht="19.95" customHeight="1">
      <c r="A88" s="609"/>
      <c r="B88" s="610"/>
      <c r="C88" s="611"/>
    </row>
    <row r="89" spans="1:3" s="406" customFormat="1" ht="19.95" customHeight="1">
      <c r="A89" s="609"/>
      <c r="B89" s="610"/>
      <c r="C89" s="611"/>
    </row>
    <row r="90" spans="1:3" s="406" customFormat="1" ht="19.95" customHeight="1">
      <c r="A90" s="610"/>
      <c r="B90" s="610"/>
      <c r="C90" s="611"/>
    </row>
    <row r="91" spans="1:3" s="406" customFormat="1" ht="19.95" customHeight="1">
      <c r="A91" s="610"/>
      <c r="B91" s="610"/>
      <c r="C91" s="611"/>
    </row>
    <row r="92" spans="1:3" s="406" customFormat="1" ht="19.95" customHeight="1">
      <c r="A92" s="610"/>
      <c r="B92" s="610"/>
      <c r="C92" s="611"/>
    </row>
    <row r="93" spans="1:3" s="406" customFormat="1" ht="19.95" customHeight="1">
      <c r="A93" s="610"/>
      <c r="B93" s="610"/>
      <c r="C93" s="611"/>
    </row>
    <row r="94" spans="1:3" s="406" customFormat="1" ht="19.95" customHeight="1">
      <c r="A94" s="21"/>
      <c r="B94" s="21"/>
      <c r="C94" s="612"/>
    </row>
    <row r="95" spans="1:3" s="406" customFormat="1" ht="19.95" customHeight="1">
      <c r="A95" s="613"/>
      <c r="B95" s="610"/>
      <c r="C95" s="611"/>
    </row>
    <row r="96" spans="1:3" s="406" customFormat="1" ht="19.95" customHeight="1">
      <c r="A96" s="613"/>
      <c r="B96" s="610"/>
      <c r="C96" s="611"/>
    </row>
    <row r="97" spans="1:7" s="406" customFormat="1" ht="19.95" customHeight="1">
      <c r="A97" s="613"/>
      <c r="B97" s="610"/>
      <c r="C97" s="611"/>
    </row>
    <row r="98" spans="1:7" s="406" customFormat="1" ht="19.95" customHeight="1">
      <c r="A98" s="613"/>
      <c r="B98" s="610"/>
      <c r="C98" s="611"/>
    </row>
    <row r="99" spans="1:7" s="406" customFormat="1" ht="19.95" customHeight="1">
      <c r="A99" s="609"/>
      <c r="B99" s="21"/>
      <c r="C99" s="612"/>
    </row>
    <row r="100" spans="1:7" s="406" customFormat="1" ht="19.95" customHeight="1">
      <c r="A100" s="609"/>
      <c r="B100" s="21"/>
      <c r="C100" s="612"/>
    </row>
    <row r="101" spans="1:7" s="406" customFormat="1" ht="19.95" customHeight="1">
      <c r="A101" s="613"/>
      <c r="B101" s="610"/>
      <c r="C101" s="611"/>
    </row>
    <row r="102" spans="1:7" s="406" customFormat="1" ht="19.95" customHeight="1">
      <c r="A102" s="613"/>
      <c r="B102" s="610"/>
      <c r="C102" s="611"/>
    </row>
    <row r="103" spans="1:7" s="406" customFormat="1" ht="19.95" customHeight="1">
      <c r="A103" s="610"/>
      <c r="B103" s="610"/>
      <c r="C103" s="611"/>
    </row>
    <row r="104" spans="1:7" s="406" customFormat="1" ht="19.95" customHeight="1">
      <c r="A104" s="610"/>
      <c r="B104" s="610"/>
      <c r="C104" s="611"/>
    </row>
    <row r="105" spans="1:7" s="406" customFormat="1" ht="19.95" customHeight="1">
      <c r="A105" s="21"/>
      <c r="B105" s="21"/>
      <c r="C105" s="612"/>
    </row>
    <row r="106" spans="1:7" s="406" customFormat="1" ht="19.95" customHeight="1">
      <c r="A106" s="610"/>
      <c r="B106" s="610"/>
      <c r="C106" s="611"/>
    </row>
    <row r="107" spans="1:7" s="406" customFormat="1" ht="19.95" customHeight="1">
      <c r="A107" s="610"/>
      <c r="B107" s="610"/>
      <c r="C107" s="611"/>
    </row>
    <row r="108" spans="1:7" s="406" customFormat="1" ht="19.95" customHeight="1">
      <c r="A108" s="613"/>
      <c r="B108" s="610"/>
      <c r="C108" s="611"/>
    </row>
    <row r="109" spans="1:7" s="406" customFormat="1" ht="19.95" customHeight="1">
      <c r="A109" s="21"/>
      <c r="B109" s="21"/>
      <c r="C109" s="612"/>
    </row>
    <row r="110" spans="1:7" s="615" customFormat="1" ht="19.95" customHeight="1">
      <c r="A110" s="610"/>
      <c r="B110" s="610"/>
      <c r="C110" s="611"/>
      <c r="D110" s="406"/>
      <c r="E110" s="406"/>
      <c r="F110" s="406"/>
      <c r="G110" s="406"/>
    </row>
    <row r="111" spans="1:7" s="406" customFormat="1" ht="19.95" customHeight="1">
      <c r="A111" s="610"/>
      <c r="B111" s="610"/>
      <c r="C111" s="611"/>
    </row>
    <row r="112" spans="1:7" s="406" customFormat="1" ht="19.95" customHeight="1">
      <c r="A112" s="610"/>
      <c r="B112" s="610"/>
      <c r="C112" s="611"/>
    </row>
    <row r="113" spans="1:7" s="406" customFormat="1" ht="19.95" customHeight="1">
      <c r="A113" s="613"/>
      <c r="B113" s="610"/>
      <c r="C113" s="611"/>
    </row>
    <row r="114" spans="1:7" s="406" customFormat="1" ht="19.95" customHeight="1">
      <c r="A114" s="613"/>
      <c r="B114" s="610"/>
      <c r="C114" s="611"/>
    </row>
    <row r="115" spans="1:7" s="406" customFormat="1" ht="19.95" customHeight="1">
      <c r="A115" s="610"/>
      <c r="B115" s="610"/>
      <c r="C115" s="611"/>
    </row>
    <row r="116" spans="1:7" s="406" customFormat="1" ht="19.95" customHeight="1">
      <c r="A116" s="609"/>
      <c r="B116" s="21"/>
      <c r="C116" s="612"/>
    </row>
    <row r="117" spans="1:7" s="406" customFormat="1" ht="19.95" customHeight="1">
      <c r="A117" s="610"/>
      <c r="B117" s="610"/>
      <c r="C117" s="611"/>
    </row>
    <row r="118" spans="1:7" s="406" customFormat="1" ht="19.95" customHeight="1">
      <c r="A118" s="610"/>
      <c r="B118" s="610"/>
      <c r="C118" s="611"/>
    </row>
    <row r="119" spans="1:7" s="406" customFormat="1" ht="19.95" customHeight="1">
      <c r="A119" s="613"/>
      <c r="B119" s="616"/>
      <c r="C119" s="247"/>
    </row>
    <row r="120" spans="1:7" s="406" customFormat="1" ht="19.95" customHeight="1">
      <c r="A120" s="613"/>
      <c r="B120" s="610"/>
      <c r="C120" s="611"/>
    </row>
    <row r="121" spans="1:7" s="406" customFormat="1" ht="19.95" customHeight="1">
      <c r="A121" s="609"/>
      <c r="B121" s="610"/>
      <c r="C121" s="611"/>
    </row>
    <row r="122" spans="1:7" s="407" customFormat="1" ht="19.95" customHeight="1">
      <c r="A122" s="613"/>
      <c r="B122" s="610"/>
      <c r="C122" s="617"/>
      <c r="D122" s="406"/>
      <c r="E122" s="406"/>
      <c r="F122" s="406"/>
      <c r="G122" s="406"/>
    </row>
  </sheetData>
  <sortState ref="A6:G119">
    <sortCondition descending="1" ref="C6:C119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7"/>
  <sheetViews>
    <sheetView showZeros="0" rightToLeft="1" tabSelected="1" workbookViewId="0">
      <selection activeCell="M31" sqref="M31"/>
    </sheetView>
  </sheetViews>
  <sheetFormatPr defaultColWidth="9.109375" defaultRowHeight="13.8"/>
  <cols>
    <col min="1" max="2" width="4.109375" style="81" customWidth="1"/>
    <col min="3" max="3" width="34" style="81" customWidth="1"/>
    <col min="4" max="4" width="9.88671875" style="81" customWidth="1"/>
    <col min="5" max="7" width="12.109375" style="81" customWidth="1"/>
    <col min="8" max="8" width="12.109375" style="81" hidden="1" customWidth="1"/>
    <col min="9" max="9" width="7.88671875" style="81" customWidth="1"/>
    <col min="10" max="16384" width="9.109375" style="81"/>
  </cols>
  <sheetData>
    <row r="3" spans="1:16" ht="21">
      <c r="D3" s="82"/>
    </row>
    <row r="4" spans="1:16" ht="15.6">
      <c r="A4" s="83"/>
      <c r="C4" s="83"/>
      <c r="D4" s="83"/>
      <c r="E4" s="83"/>
      <c r="F4" s="83"/>
      <c r="G4" s="83"/>
      <c r="H4" s="83"/>
      <c r="I4" s="83"/>
      <c r="J4" s="83"/>
      <c r="K4" s="83"/>
      <c r="N4" s="83"/>
      <c r="O4" s="83"/>
      <c r="P4" s="83"/>
    </row>
    <row r="5" spans="1:16" ht="15.6">
      <c r="A5" s="83">
        <v>3.3</v>
      </c>
      <c r="C5" s="83" t="s">
        <v>642</v>
      </c>
      <c r="D5" s="83"/>
      <c r="E5" s="83"/>
      <c r="F5" s="83"/>
      <c r="G5" s="83"/>
      <c r="H5" s="83"/>
      <c r="I5" s="83"/>
      <c r="J5" s="83"/>
      <c r="K5" s="83"/>
      <c r="N5" s="83"/>
      <c r="O5" s="83"/>
      <c r="P5" s="83"/>
    </row>
    <row r="6" spans="1:16" ht="16.2" thickBot="1">
      <c r="A6" s="83"/>
      <c r="C6" s="83"/>
      <c r="D6" s="83"/>
      <c r="E6" s="83"/>
      <c r="F6" s="83"/>
      <c r="G6" s="83"/>
      <c r="H6" s="83"/>
      <c r="I6" s="83"/>
      <c r="J6" s="83"/>
      <c r="K6" s="83"/>
      <c r="N6" s="83"/>
      <c r="O6" s="83"/>
      <c r="P6" s="83"/>
    </row>
    <row r="7" spans="1:16" ht="20.100000000000001" customHeight="1">
      <c r="A7" s="83"/>
      <c r="C7" s="102" t="s">
        <v>179</v>
      </c>
      <c r="D7" s="289" t="s">
        <v>375</v>
      </c>
      <c r="E7" s="105" t="s">
        <v>949</v>
      </c>
      <c r="F7" s="106" t="s">
        <v>770</v>
      </c>
      <c r="N7" s="83"/>
      <c r="O7" s="83"/>
      <c r="P7" s="83"/>
    </row>
    <row r="8" spans="1:16" ht="20.100000000000001" customHeight="1">
      <c r="A8" s="83"/>
      <c r="C8" s="107" t="s">
        <v>399</v>
      </c>
      <c r="D8" s="182">
        <v>81</v>
      </c>
      <c r="E8" s="182">
        <v>271615.28100000002</v>
      </c>
      <c r="F8" s="168">
        <v>280936</v>
      </c>
      <c r="H8" s="226">
        <f t="shared" ref="H8:H20" si="0">E8/$E$21</f>
        <v>0.58265260038510014</v>
      </c>
      <c r="N8" s="83"/>
      <c r="O8" s="83"/>
      <c r="P8" s="83"/>
    </row>
    <row r="9" spans="1:16" ht="20.100000000000001" customHeight="1">
      <c r="A9" s="83"/>
      <c r="C9" s="107" t="s">
        <v>210</v>
      </c>
      <c r="D9" s="182">
        <v>74</v>
      </c>
      <c r="E9" s="182">
        <v>91980.922000000006</v>
      </c>
      <c r="F9" s="295">
        <v>82435</v>
      </c>
      <c r="H9" s="226">
        <f t="shared" si="0"/>
        <v>0.19731188610525585</v>
      </c>
      <c r="N9" s="83"/>
      <c r="O9" s="83"/>
      <c r="P9" s="83"/>
    </row>
    <row r="10" spans="1:16" ht="20.100000000000001" customHeight="1">
      <c r="A10" s="83"/>
      <c r="C10" s="107" t="s">
        <v>400</v>
      </c>
      <c r="D10" s="182">
        <v>82</v>
      </c>
      <c r="E10" s="182">
        <v>44367</v>
      </c>
      <c r="F10" s="168">
        <v>41367</v>
      </c>
      <c r="H10" s="226">
        <f t="shared" si="0"/>
        <v>9.5173393139415211E-2</v>
      </c>
      <c r="N10" s="83"/>
      <c r="O10" s="83"/>
      <c r="P10" s="83"/>
    </row>
    <row r="11" spans="1:16" ht="20.100000000000001" customHeight="1">
      <c r="A11" s="83"/>
      <c r="C11" s="107" t="s">
        <v>214</v>
      </c>
      <c r="D11" s="182" t="s">
        <v>837</v>
      </c>
      <c r="E11" s="182">
        <v>14786</v>
      </c>
      <c r="F11" s="168">
        <v>17680</v>
      </c>
      <c r="H11" s="226">
        <f t="shared" si="0"/>
        <v>3.1718028962052724E-2</v>
      </c>
      <c r="N11" s="83"/>
      <c r="O11" s="83"/>
      <c r="P11" s="83"/>
    </row>
    <row r="12" spans="1:16" ht="20.100000000000001" customHeight="1">
      <c r="A12" s="83"/>
      <c r="C12" s="114" t="s">
        <v>381</v>
      </c>
      <c r="D12" s="182">
        <v>764</v>
      </c>
      <c r="E12" s="182">
        <v>7000</v>
      </c>
      <c r="F12" s="168">
        <v>11000</v>
      </c>
      <c r="H12" s="226">
        <f t="shared" si="0"/>
        <v>1.5015974755469301E-2</v>
      </c>
      <c r="N12" s="83"/>
      <c r="O12" s="83"/>
      <c r="P12" s="83"/>
    </row>
    <row r="13" spans="1:16" ht="20.100000000000001" customHeight="1">
      <c r="A13" s="83"/>
      <c r="C13" s="107" t="s">
        <v>212</v>
      </c>
      <c r="D13" s="182">
        <v>73</v>
      </c>
      <c r="E13" s="182">
        <v>11960</v>
      </c>
      <c r="F13" s="168">
        <v>6097</v>
      </c>
      <c r="H13" s="226">
        <f t="shared" si="0"/>
        <v>2.5655865439344692E-2</v>
      </c>
      <c r="N13" s="83"/>
      <c r="O13" s="83"/>
      <c r="P13" s="83"/>
    </row>
    <row r="14" spans="1:16" ht="20.100000000000001" customHeight="1">
      <c r="A14" s="83"/>
      <c r="C14" s="114" t="s">
        <v>81</v>
      </c>
      <c r="D14" s="182">
        <v>87</v>
      </c>
      <c r="E14" s="182">
        <v>700</v>
      </c>
      <c r="F14" s="168">
        <v>9142</v>
      </c>
      <c r="H14" s="226">
        <f t="shared" si="0"/>
        <v>1.5015974755469301E-3</v>
      </c>
      <c r="N14" s="83"/>
      <c r="O14" s="83"/>
      <c r="P14" s="83"/>
    </row>
    <row r="15" spans="1:16" ht="20.100000000000001" customHeight="1">
      <c r="A15" s="83"/>
      <c r="C15" s="107" t="s">
        <v>211</v>
      </c>
      <c r="D15" s="182">
        <v>93</v>
      </c>
      <c r="E15" s="182">
        <v>2100</v>
      </c>
      <c r="F15" s="168">
        <v>3190</v>
      </c>
      <c r="H15" s="226">
        <f t="shared" si="0"/>
        <v>4.5047924266407901E-3</v>
      </c>
      <c r="N15" s="83"/>
      <c r="O15" s="83"/>
      <c r="P15" s="83"/>
    </row>
    <row r="16" spans="1:16" ht="20.100000000000001" customHeight="1">
      <c r="A16" s="83"/>
      <c r="C16" s="107" t="s">
        <v>215</v>
      </c>
      <c r="D16" s="182">
        <v>85</v>
      </c>
      <c r="E16" s="182">
        <v>4150</v>
      </c>
      <c r="F16" s="168">
        <v>600</v>
      </c>
      <c r="H16" s="226">
        <f t="shared" si="0"/>
        <v>8.9023278907425143E-3</v>
      </c>
      <c r="N16" s="83"/>
      <c r="O16" s="83"/>
      <c r="P16" s="83"/>
    </row>
    <row r="17" spans="1:16" ht="20.100000000000001" customHeight="1">
      <c r="A17" s="83"/>
      <c r="C17" s="107" t="s">
        <v>80</v>
      </c>
      <c r="D17" s="182">
        <v>747</v>
      </c>
      <c r="E17" s="182">
        <v>5341</v>
      </c>
      <c r="F17" s="168">
        <v>7222</v>
      </c>
      <c r="H17" s="226">
        <f t="shared" si="0"/>
        <v>1.1457188738423076E-2</v>
      </c>
      <c r="N17" s="83"/>
      <c r="O17" s="83"/>
      <c r="P17" s="83"/>
    </row>
    <row r="18" spans="1:16" ht="20.100000000000001" customHeight="1">
      <c r="A18" s="83"/>
      <c r="C18" s="107" t="s">
        <v>380</v>
      </c>
      <c r="D18" s="182">
        <v>848</v>
      </c>
      <c r="E18" s="182">
        <v>4200</v>
      </c>
      <c r="F18" s="168">
        <v>6000</v>
      </c>
      <c r="H18" s="226">
        <f t="shared" si="0"/>
        <v>9.0095848532815801E-3</v>
      </c>
      <c r="M18" s="117"/>
      <c r="N18" s="83"/>
      <c r="O18" s="83"/>
      <c r="P18" s="83"/>
    </row>
    <row r="19" spans="1:16" ht="20.100000000000001" customHeight="1">
      <c r="A19" s="83"/>
      <c r="C19" s="107" t="s">
        <v>401</v>
      </c>
      <c r="D19" s="182">
        <v>84</v>
      </c>
      <c r="E19" s="182">
        <v>6000</v>
      </c>
      <c r="F19" s="168">
        <v>400</v>
      </c>
      <c r="H19" s="226">
        <f t="shared" si="0"/>
        <v>1.2870835504687973E-2</v>
      </c>
      <c r="N19" s="83"/>
      <c r="O19" s="83"/>
      <c r="P19" s="83"/>
    </row>
    <row r="20" spans="1:16" ht="20.100000000000001" customHeight="1">
      <c r="A20" s="83"/>
      <c r="C20" s="107" t="s">
        <v>213</v>
      </c>
      <c r="D20" s="182">
        <v>61</v>
      </c>
      <c r="E20" s="182">
        <v>1970</v>
      </c>
      <c r="F20" s="168">
        <v>8900</v>
      </c>
      <c r="H20" s="226">
        <f t="shared" si="0"/>
        <v>4.2259243240392172E-3</v>
      </c>
      <c r="N20" s="83"/>
      <c r="O20" s="83"/>
      <c r="P20" s="83"/>
    </row>
    <row r="21" spans="1:16" ht="20.100000000000001" customHeight="1" thickBot="1">
      <c r="A21" s="83"/>
      <c r="C21" s="169" t="s">
        <v>88</v>
      </c>
      <c r="D21" s="170"/>
      <c r="E21" s="174">
        <v>466170.20300000004</v>
      </c>
      <c r="F21" s="175">
        <v>474969</v>
      </c>
      <c r="H21" s="171">
        <f>SUM(H8:H20)</f>
        <v>1</v>
      </c>
      <c r="N21" s="83"/>
      <c r="O21" s="83"/>
      <c r="P21" s="83"/>
    </row>
    <row r="22" spans="1:16" ht="15.6">
      <c r="A22" s="83"/>
      <c r="M22" s="83"/>
      <c r="N22" s="83"/>
      <c r="O22" s="83"/>
      <c r="P22" s="83"/>
    </row>
    <row r="23" spans="1:16" s="293" customFormat="1" ht="15.6">
      <c r="A23" s="292"/>
      <c r="C23" s="294"/>
      <c r="M23" s="292"/>
      <c r="N23" s="292"/>
      <c r="O23" s="292"/>
      <c r="P23" s="292"/>
    </row>
    <row r="24" spans="1:16" ht="15.6">
      <c r="A24" s="83"/>
      <c r="B24" s="89"/>
      <c r="C24" s="89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</row>
    <row r="25" spans="1:16" ht="15.6">
      <c r="A25" s="89"/>
      <c r="B25" s="89"/>
      <c r="C25" s="89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1:16" ht="15.6"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1:16" ht="15.6"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0"/>
  <sheetViews>
    <sheetView showZeros="0" rightToLeft="1" tabSelected="1" workbookViewId="0">
      <selection activeCell="M31" sqref="M31"/>
    </sheetView>
  </sheetViews>
  <sheetFormatPr defaultColWidth="9.109375" defaultRowHeight="13.8"/>
  <cols>
    <col min="1" max="3" width="4.109375" style="81" customWidth="1"/>
    <col min="4" max="4" width="33" style="81" customWidth="1"/>
    <col min="5" max="8" width="12.109375" style="81" customWidth="1"/>
    <col min="9" max="9" width="7.88671875" style="81" customWidth="1"/>
    <col min="10" max="10" width="9.109375" style="81" hidden="1" customWidth="1"/>
    <col min="11" max="16384" width="9.109375" style="81"/>
  </cols>
  <sheetData>
    <row r="5" spans="1:16" ht="15.6">
      <c r="A5" s="83">
        <v>3.4</v>
      </c>
      <c r="C5" s="83" t="s">
        <v>497</v>
      </c>
    </row>
    <row r="6" spans="1:16" ht="16.2" thickBot="1">
      <c r="A6" s="83"/>
      <c r="H6" s="83"/>
      <c r="I6" s="83"/>
      <c r="J6" s="83"/>
      <c r="K6" s="83"/>
      <c r="N6" s="83"/>
      <c r="O6" s="83"/>
      <c r="P6" s="83"/>
    </row>
    <row r="7" spans="1:16" ht="20.100000000000001" customHeight="1">
      <c r="A7" s="83"/>
      <c r="C7" s="102" t="s">
        <v>498</v>
      </c>
      <c r="D7" s="103"/>
      <c r="E7" s="104"/>
      <c r="F7" s="105" t="s">
        <v>949</v>
      </c>
      <c r="G7" s="106" t="s">
        <v>770</v>
      </c>
      <c r="N7" s="83"/>
      <c r="O7" s="83"/>
      <c r="P7" s="83"/>
    </row>
    <row r="8" spans="1:16" ht="20.100000000000001" customHeight="1">
      <c r="A8" s="83"/>
      <c r="C8" s="107" t="s">
        <v>339</v>
      </c>
      <c r="D8" s="108"/>
      <c r="E8" s="109"/>
      <c r="F8" s="110">
        <v>14777.284</v>
      </c>
      <c r="G8" s="111">
        <v>9580</v>
      </c>
      <c r="J8" s="226">
        <f t="shared" ref="J8:J16" si="0">F8/$F$17</f>
        <v>3.1699331928342921E-2</v>
      </c>
      <c r="N8" s="83"/>
      <c r="O8" s="83"/>
      <c r="P8" s="83"/>
    </row>
    <row r="9" spans="1:16" ht="20.100000000000001" customHeight="1">
      <c r="A9" s="83"/>
      <c r="C9" s="107" t="s">
        <v>180</v>
      </c>
      <c r="D9" s="113"/>
      <c r="E9" s="109"/>
      <c r="F9" s="110">
        <v>349016.81599999999</v>
      </c>
      <c r="G9" s="111">
        <v>347501</v>
      </c>
      <c r="J9" s="226">
        <f t="shared" si="0"/>
        <v>0.74868967118432495</v>
      </c>
      <c r="N9" s="83"/>
      <c r="O9" s="83"/>
      <c r="P9" s="83"/>
    </row>
    <row r="10" spans="1:16" ht="20.100000000000001" customHeight="1">
      <c r="A10" s="83"/>
      <c r="C10" s="107" t="s">
        <v>1245</v>
      </c>
      <c r="D10" s="108"/>
      <c r="E10" s="109"/>
      <c r="F10" s="110">
        <v>75601</v>
      </c>
      <c r="G10" s="111">
        <v>83915</v>
      </c>
      <c r="J10" s="226">
        <f t="shared" si="0"/>
        <v>0.16217467249831927</v>
      </c>
      <c r="N10" s="83"/>
      <c r="O10" s="83"/>
      <c r="P10" s="83"/>
    </row>
    <row r="11" spans="1:16" ht="20.100000000000001" customHeight="1">
      <c r="A11" s="83"/>
      <c r="C11" s="107" t="s">
        <v>1384</v>
      </c>
      <c r="D11" s="113"/>
      <c r="E11" s="109"/>
      <c r="F11" s="110">
        <v>2717.163</v>
      </c>
      <c r="G11" s="111">
        <v>6216</v>
      </c>
      <c r="J11" s="226">
        <f t="shared" si="0"/>
        <v>5.8286930020707483E-3</v>
      </c>
      <c r="N11" s="83"/>
      <c r="O11" s="83"/>
      <c r="P11" s="83"/>
    </row>
    <row r="12" spans="1:16" ht="20.100000000000001" customHeight="1">
      <c r="A12" s="83"/>
      <c r="C12" s="107" t="s">
        <v>314</v>
      </c>
      <c r="D12" s="113"/>
      <c r="E12" s="109"/>
      <c r="F12" s="110">
        <v>3117</v>
      </c>
      <c r="G12" s="111">
        <v>2970</v>
      </c>
      <c r="J12" s="226">
        <f t="shared" si="0"/>
        <v>6.6863990446854021E-3</v>
      </c>
      <c r="N12" s="83"/>
      <c r="O12" s="83"/>
      <c r="P12" s="83"/>
    </row>
    <row r="13" spans="1:16" ht="20.100000000000001" customHeight="1">
      <c r="A13" s="83"/>
      <c r="C13" s="107" t="s">
        <v>87</v>
      </c>
      <c r="D13" s="108"/>
      <c r="E13" s="109"/>
      <c r="F13" s="110">
        <v>1600</v>
      </c>
      <c r="G13" s="111">
        <v>410</v>
      </c>
      <c r="J13" s="226">
        <f t="shared" si="0"/>
        <v>3.4322228012501265E-3</v>
      </c>
      <c r="N13" s="83"/>
      <c r="O13" s="83"/>
      <c r="P13" s="83"/>
    </row>
    <row r="14" spans="1:16" ht="20.100000000000001" customHeight="1">
      <c r="A14" s="83"/>
      <c r="C14" s="114" t="s">
        <v>244</v>
      </c>
      <c r="D14" s="115"/>
      <c r="E14" s="116"/>
      <c r="F14" s="110">
        <v>14166</v>
      </c>
      <c r="G14" s="111">
        <v>14650</v>
      </c>
      <c r="J14" s="226">
        <f t="shared" si="0"/>
        <v>3.0388042626568308E-2</v>
      </c>
      <c r="M14" s="117"/>
      <c r="N14" s="83"/>
      <c r="O14" s="83"/>
      <c r="P14" s="83"/>
    </row>
    <row r="15" spans="1:16" ht="20.100000000000001" customHeight="1">
      <c r="A15" s="83"/>
      <c r="C15" s="107" t="s">
        <v>321</v>
      </c>
      <c r="D15" s="108"/>
      <c r="E15" s="109"/>
      <c r="F15" s="110">
        <v>300</v>
      </c>
      <c r="G15" s="111">
        <v>1090</v>
      </c>
      <c r="J15" s="226">
        <f t="shared" si="0"/>
        <v>6.4354177523439867E-4</v>
      </c>
      <c r="N15" s="83"/>
      <c r="O15" s="83"/>
      <c r="P15" s="83"/>
    </row>
    <row r="16" spans="1:16" ht="20.100000000000001" customHeight="1">
      <c r="A16" s="83"/>
      <c r="C16" s="107" t="s">
        <v>1445</v>
      </c>
      <c r="D16" s="108"/>
      <c r="E16" s="109"/>
      <c r="F16" s="110">
        <v>4874.9399999999996</v>
      </c>
      <c r="G16" s="111">
        <v>8637</v>
      </c>
      <c r="J16" s="226">
        <f t="shared" si="0"/>
        <v>1.0457425139203931E-2</v>
      </c>
      <c r="N16" s="83"/>
      <c r="O16" s="83"/>
      <c r="P16" s="83"/>
    </row>
    <row r="17" spans="1:16" ht="20.100000000000001" customHeight="1" thickBot="1">
      <c r="A17" s="83"/>
      <c r="C17" s="118" t="s">
        <v>88</v>
      </c>
      <c r="D17" s="119"/>
      <c r="E17" s="120"/>
      <c r="F17" s="174">
        <v>466170.20299999998</v>
      </c>
      <c r="G17" s="175">
        <v>474969</v>
      </c>
      <c r="J17" s="122">
        <f>SUM(J8:J16)</f>
        <v>1.0000000000000002</v>
      </c>
      <c r="N17" s="83"/>
      <c r="O17" s="83"/>
      <c r="P17" s="83"/>
    </row>
    <row r="18" spans="1:16" ht="17.399999999999999">
      <c r="A18" s="83"/>
      <c r="C18" s="84"/>
      <c r="D18" s="83"/>
      <c r="F18" s="95"/>
      <c r="G18" s="95"/>
      <c r="N18" s="83"/>
      <c r="O18" s="83"/>
      <c r="P18" s="83"/>
    </row>
    <row r="19" spans="1:16" s="599" customFormat="1" ht="15.6">
      <c r="A19" s="89"/>
      <c r="B19" s="89"/>
      <c r="C19" s="89" t="s">
        <v>192</v>
      </c>
      <c r="D19" s="83" t="s">
        <v>1383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6" s="599" customFormat="1" ht="15.6"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1"/>
  <sheetViews>
    <sheetView showZeros="0" rightToLeft="1" tabSelected="1" zoomScaleNormal="100" workbookViewId="0">
      <selection activeCell="M31" sqref="M31"/>
    </sheetView>
  </sheetViews>
  <sheetFormatPr defaultColWidth="9.109375" defaultRowHeight="13.8"/>
  <cols>
    <col min="1" max="3" width="4.109375" style="81" customWidth="1"/>
    <col min="4" max="4" width="33" style="81" customWidth="1"/>
    <col min="5" max="8" width="12.109375" style="81" customWidth="1"/>
    <col min="9" max="9" width="12.109375" style="81" bestFit="1" customWidth="1"/>
    <col min="10" max="10" width="9.109375" style="81" customWidth="1"/>
    <col min="11" max="16384" width="9.109375" style="81"/>
  </cols>
  <sheetData>
    <row r="4" spans="1:16" ht="12.75" customHeight="1">
      <c r="A4" s="83"/>
      <c r="C4" s="123"/>
      <c r="D4" s="87"/>
      <c r="E4" s="124"/>
      <c r="F4" s="125"/>
      <c r="G4" s="125"/>
      <c r="N4" s="83"/>
      <c r="O4" s="83"/>
      <c r="P4" s="83"/>
    </row>
    <row r="5" spans="1:16" ht="15.6">
      <c r="A5" s="83">
        <v>3.5</v>
      </c>
      <c r="C5" s="83" t="s">
        <v>181</v>
      </c>
    </row>
    <row r="6" spans="1:16" ht="16.2" thickBot="1">
      <c r="A6" s="83"/>
      <c r="H6" s="83"/>
      <c r="I6" s="83"/>
      <c r="J6" s="83"/>
      <c r="K6" s="83"/>
      <c r="N6" s="83"/>
      <c r="O6" s="83"/>
      <c r="P6" s="83"/>
    </row>
    <row r="7" spans="1:16" ht="20.100000000000001" customHeight="1">
      <c r="A7" s="83"/>
      <c r="C7" s="102" t="s">
        <v>182</v>
      </c>
      <c r="D7" s="177"/>
      <c r="E7" s="104"/>
      <c r="F7" s="105" t="s">
        <v>949</v>
      </c>
      <c r="G7" s="126" t="s">
        <v>769</v>
      </c>
      <c r="J7" s="112"/>
      <c r="M7" s="83"/>
      <c r="N7" s="83"/>
      <c r="O7" s="83"/>
    </row>
    <row r="8" spans="1:16" ht="20.100000000000001" customHeight="1">
      <c r="A8" s="83"/>
      <c r="C8" s="107" t="s">
        <v>183</v>
      </c>
      <c r="D8" s="107"/>
      <c r="E8" s="109"/>
      <c r="F8" s="110">
        <v>258902</v>
      </c>
      <c r="G8" s="111">
        <v>230670</v>
      </c>
      <c r="H8" s="597"/>
      <c r="I8" s="598"/>
      <c r="J8" s="226"/>
      <c r="K8" s="598"/>
      <c r="M8" s="83"/>
      <c r="N8" s="83"/>
      <c r="O8" s="83"/>
    </row>
    <row r="9" spans="1:16" ht="20.100000000000001" customHeight="1">
      <c r="A9" s="83"/>
      <c r="C9" s="107" t="s">
        <v>14</v>
      </c>
      <c r="D9" s="107"/>
      <c r="E9" s="109"/>
      <c r="F9" s="110">
        <v>110000</v>
      </c>
      <c r="G9" s="111">
        <v>60000</v>
      </c>
      <c r="H9" s="597"/>
      <c r="I9" s="598"/>
      <c r="J9" s="226"/>
      <c r="K9" s="598"/>
      <c r="M9" s="83"/>
      <c r="N9" s="83"/>
      <c r="O9" s="83"/>
    </row>
    <row r="10" spans="1:16" ht="20.100000000000001" hidden="1" customHeight="1">
      <c r="A10" s="83"/>
      <c r="C10" s="107" t="s">
        <v>15</v>
      </c>
      <c r="D10" s="107"/>
      <c r="E10" s="109"/>
      <c r="F10" s="110"/>
      <c r="G10" s="111"/>
      <c r="H10" s="597"/>
      <c r="I10" s="598"/>
      <c r="J10" s="226"/>
      <c r="K10" s="598"/>
      <c r="M10" s="83"/>
      <c r="N10" s="83"/>
      <c r="O10" s="83"/>
    </row>
    <row r="11" spans="1:16" ht="20.100000000000001" customHeight="1">
      <c r="A11" s="83"/>
      <c r="C11" s="107" t="s">
        <v>226</v>
      </c>
      <c r="D11" s="114"/>
      <c r="E11" s="116"/>
      <c r="F11" s="110">
        <v>866</v>
      </c>
      <c r="G11" s="111">
        <v>9000</v>
      </c>
      <c r="H11" s="597"/>
      <c r="I11" s="598"/>
      <c r="J11" s="226"/>
      <c r="K11" s="598"/>
      <c r="M11" s="83"/>
      <c r="N11" s="83"/>
      <c r="O11" s="83"/>
    </row>
    <row r="12" spans="1:16" ht="20.100000000000001" customHeight="1">
      <c r="A12" s="83"/>
      <c r="C12" s="107" t="s">
        <v>575</v>
      </c>
      <c r="D12" s="114"/>
      <c r="E12" s="116"/>
      <c r="F12" s="110">
        <v>0</v>
      </c>
      <c r="G12" s="111">
        <v>7100</v>
      </c>
      <c r="H12" s="597"/>
      <c r="I12" s="598"/>
      <c r="J12" s="226"/>
      <c r="K12" s="598"/>
      <c r="M12" s="83"/>
      <c r="N12" s="83"/>
      <c r="O12" s="83"/>
    </row>
    <row r="13" spans="1:16" ht="20.100000000000001" customHeight="1">
      <c r="A13" s="83"/>
      <c r="C13" s="107" t="s">
        <v>184</v>
      </c>
      <c r="D13" s="189"/>
      <c r="E13" s="128"/>
      <c r="F13" s="110">
        <v>96402.202999999994</v>
      </c>
      <c r="G13" s="111">
        <v>168199</v>
      </c>
      <c r="H13" s="597"/>
      <c r="I13" s="598"/>
      <c r="J13" s="226"/>
      <c r="K13" s="598"/>
      <c r="L13" s="117"/>
      <c r="M13" s="83"/>
      <c r="N13" s="83"/>
      <c r="O13" s="83"/>
    </row>
    <row r="14" spans="1:16" ht="20.100000000000001" customHeight="1" thickBot="1">
      <c r="A14" s="83"/>
      <c r="C14" s="176" t="s">
        <v>88</v>
      </c>
      <c r="D14" s="178"/>
      <c r="E14" s="120"/>
      <c r="F14" s="174">
        <v>466170.20299999998</v>
      </c>
      <c r="G14" s="175">
        <v>474969</v>
      </c>
      <c r="H14" s="598"/>
      <c r="I14" s="598"/>
      <c r="J14" s="598"/>
      <c r="K14" s="598"/>
      <c r="M14" s="83"/>
      <c r="N14" s="83"/>
      <c r="O14" s="83"/>
    </row>
    <row r="15" spans="1:16" ht="17.399999999999999">
      <c r="A15" s="83"/>
      <c r="C15" s="84"/>
      <c r="D15" s="83"/>
      <c r="F15" s="95"/>
      <c r="G15" s="95"/>
      <c r="H15" s="598"/>
      <c r="N15" s="83"/>
      <c r="O15" s="83"/>
      <c r="P15" s="83"/>
    </row>
    <row r="16" spans="1:16" ht="15.6">
      <c r="A16" s="83"/>
      <c r="M16" s="83"/>
      <c r="N16" s="83"/>
      <c r="O16" s="83"/>
      <c r="P16" s="83"/>
    </row>
    <row r="17" spans="1:16" ht="15.6">
      <c r="A17" s="83"/>
      <c r="M17" s="83"/>
      <c r="N17" s="83"/>
      <c r="O17" s="83"/>
      <c r="P17" s="83"/>
    </row>
    <row r="18" spans="1:16" ht="15.6">
      <c r="A18" s="83"/>
      <c r="B18" s="89"/>
      <c r="C18" s="89"/>
      <c r="D18" s="89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ht="15.6">
      <c r="A19" s="89"/>
      <c r="B19" s="89"/>
      <c r="C19" s="89"/>
      <c r="D19" s="89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6" ht="15.6"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</row>
    <row r="21" spans="1:16" ht="15.6"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Zeros="0" rightToLeft="1" tabSelected="1" workbookViewId="0">
      <selection activeCell="M31" sqref="M31"/>
    </sheetView>
  </sheetViews>
  <sheetFormatPr defaultRowHeight="15.6"/>
  <cols>
    <col min="1" max="1" width="3.44140625" style="61" customWidth="1"/>
    <col min="2" max="2" width="37.33203125" style="61" bestFit="1" customWidth="1"/>
    <col min="3" max="3" width="16.44140625" style="63" bestFit="1" customWidth="1"/>
    <col min="4" max="4" width="19.88671875" style="63" bestFit="1" customWidth="1"/>
    <col min="5" max="5" width="13.44140625" style="63" customWidth="1"/>
    <col min="6" max="6" width="16.44140625" style="63" bestFit="1" customWidth="1"/>
    <col min="7" max="7" width="19.88671875" style="63" bestFit="1" customWidth="1"/>
    <col min="8" max="8" width="12.44140625" style="63" customWidth="1"/>
    <col min="9" max="10" width="8.88671875" style="61"/>
    <col min="11" max="15" width="8.88671875" style="61" customWidth="1"/>
    <col min="16" max="16" width="10.33203125" style="61" customWidth="1"/>
    <col min="17" max="256" width="8.88671875" style="61"/>
    <col min="257" max="257" width="3.44140625" style="61" customWidth="1"/>
    <col min="258" max="258" width="37.33203125" style="61" bestFit="1" customWidth="1"/>
    <col min="259" max="259" width="16.44140625" style="61" bestFit="1" customWidth="1"/>
    <col min="260" max="260" width="19.88671875" style="61" bestFit="1" customWidth="1"/>
    <col min="261" max="261" width="13.44140625" style="61" customWidth="1"/>
    <col min="262" max="262" width="16.44140625" style="61" bestFit="1" customWidth="1"/>
    <col min="263" max="263" width="19.88671875" style="61" bestFit="1" customWidth="1"/>
    <col min="264" max="264" width="12.44140625" style="61" customWidth="1"/>
    <col min="265" max="512" width="8.88671875" style="61"/>
    <col min="513" max="513" width="3.44140625" style="61" customWidth="1"/>
    <col min="514" max="514" width="37.33203125" style="61" bestFit="1" customWidth="1"/>
    <col min="515" max="515" width="16.44140625" style="61" bestFit="1" customWidth="1"/>
    <col min="516" max="516" width="19.88671875" style="61" bestFit="1" customWidth="1"/>
    <col min="517" max="517" width="13.44140625" style="61" customWidth="1"/>
    <col min="518" max="518" width="16.44140625" style="61" bestFit="1" customWidth="1"/>
    <col min="519" max="519" width="19.88671875" style="61" bestFit="1" customWidth="1"/>
    <col min="520" max="520" width="12.44140625" style="61" customWidth="1"/>
    <col min="521" max="768" width="8.88671875" style="61"/>
    <col min="769" max="769" width="3.44140625" style="61" customWidth="1"/>
    <col min="770" max="770" width="37.33203125" style="61" bestFit="1" customWidth="1"/>
    <col min="771" max="771" width="16.44140625" style="61" bestFit="1" customWidth="1"/>
    <col min="772" max="772" width="19.88671875" style="61" bestFit="1" customWidth="1"/>
    <col min="773" max="773" width="13.44140625" style="61" customWidth="1"/>
    <col min="774" max="774" width="16.44140625" style="61" bestFit="1" customWidth="1"/>
    <col min="775" max="775" width="19.88671875" style="61" bestFit="1" customWidth="1"/>
    <col min="776" max="776" width="12.44140625" style="61" customWidth="1"/>
    <col min="777" max="1024" width="8.88671875" style="61"/>
    <col min="1025" max="1025" width="3.44140625" style="61" customWidth="1"/>
    <col min="1026" max="1026" width="37.33203125" style="61" bestFit="1" customWidth="1"/>
    <col min="1027" max="1027" width="16.44140625" style="61" bestFit="1" customWidth="1"/>
    <col min="1028" max="1028" width="19.88671875" style="61" bestFit="1" customWidth="1"/>
    <col min="1029" max="1029" width="13.44140625" style="61" customWidth="1"/>
    <col min="1030" max="1030" width="16.44140625" style="61" bestFit="1" customWidth="1"/>
    <col min="1031" max="1031" width="19.88671875" style="61" bestFit="1" customWidth="1"/>
    <col min="1032" max="1032" width="12.44140625" style="61" customWidth="1"/>
    <col min="1033" max="1280" width="8.88671875" style="61"/>
    <col min="1281" max="1281" width="3.44140625" style="61" customWidth="1"/>
    <col min="1282" max="1282" width="37.33203125" style="61" bestFit="1" customWidth="1"/>
    <col min="1283" max="1283" width="16.44140625" style="61" bestFit="1" customWidth="1"/>
    <col min="1284" max="1284" width="19.88671875" style="61" bestFit="1" customWidth="1"/>
    <col min="1285" max="1285" width="13.44140625" style="61" customWidth="1"/>
    <col min="1286" max="1286" width="16.44140625" style="61" bestFit="1" customWidth="1"/>
    <col min="1287" max="1287" width="19.88671875" style="61" bestFit="1" customWidth="1"/>
    <col min="1288" max="1288" width="12.44140625" style="61" customWidth="1"/>
    <col min="1289" max="1536" width="8.88671875" style="61"/>
    <col min="1537" max="1537" width="3.44140625" style="61" customWidth="1"/>
    <col min="1538" max="1538" width="37.33203125" style="61" bestFit="1" customWidth="1"/>
    <col min="1539" max="1539" width="16.44140625" style="61" bestFit="1" customWidth="1"/>
    <col min="1540" max="1540" width="19.88671875" style="61" bestFit="1" customWidth="1"/>
    <col min="1541" max="1541" width="13.44140625" style="61" customWidth="1"/>
    <col min="1542" max="1542" width="16.44140625" style="61" bestFit="1" customWidth="1"/>
    <col min="1543" max="1543" width="19.88671875" style="61" bestFit="1" customWidth="1"/>
    <col min="1544" max="1544" width="12.44140625" style="61" customWidth="1"/>
    <col min="1545" max="1792" width="8.88671875" style="61"/>
    <col min="1793" max="1793" width="3.44140625" style="61" customWidth="1"/>
    <col min="1794" max="1794" width="37.33203125" style="61" bestFit="1" customWidth="1"/>
    <col min="1795" max="1795" width="16.44140625" style="61" bestFit="1" customWidth="1"/>
    <col min="1796" max="1796" width="19.88671875" style="61" bestFit="1" customWidth="1"/>
    <col min="1797" max="1797" width="13.44140625" style="61" customWidth="1"/>
    <col min="1798" max="1798" width="16.44140625" style="61" bestFit="1" customWidth="1"/>
    <col min="1799" max="1799" width="19.88671875" style="61" bestFit="1" customWidth="1"/>
    <col min="1800" max="1800" width="12.44140625" style="61" customWidth="1"/>
    <col min="1801" max="2048" width="8.88671875" style="61"/>
    <col min="2049" max="2049" width="3.44140625" style="61" customWidth="1"/>
    <col min="2050" max="2050" width="37.33203125" style="61" bestFit="1" customWidth="1"/>
    <col min="2051" max="2051" width="16.44140625" style="61" bestFit="1" customWidth="1"/>
    <col min="2052" max="2052" width="19.88671875" style="61" bestFit="1" customWidth="1"/>
    <col min="2053" max="2053" width="13.44140625" style="61" customWidth="1"/>
    <col min="2054" max="2054" width="16.44140625" style="61" bestFit="1" customWidth="1"/>
    <col min="2055" max="2055" width="19.88671875" style="61" bestFit="1" customWidth="1"/>
    <col min="2056" max="2056" width="12.44140625" style="61" customWidth="1"/>
    <col min="2057" max="2304" width="8.88671875" style="61"/>
    <col min="2305" max="2305" width="3.44140625" style="61" customWidth="1"/>
    <col min="2306" max="2306" width="37.33203125" style="61" bestFit="1" customWidth="1"/>
    <col min="2307" max="2307" width="16.44140625" style="61" bestFit="1" customWidth="1"/>
    <col min="2308" max="2308" width="19.88671875" style="61" bestFit="1" customWidth="1"/>
    <col min="2309" max="2309" width="13.44140625" style="61" customWidth="1"/>
    <col min="2310" max="2310" width="16.44140625" style="61" bestFit="1" customWidth="1"/>
    <col min="2311" max="2311" width="19.88671875" style="61" bestFit="1" customWidth="1"/>
    <col min="2312" max="2312" width="12.44140625" style="61" customWidth="1"/>
    <col min="2313" max="2560" width="8.88671875" style="61"/>
    <col min="2561" max="2561" width="3.44140625" style="61" customWidth="1"/>
    <col min="2562" max="2562" width="37.33203125" style="61" bestFit="1" customWidth="1"/>
    <col min="2563" max="2563" width="16.44140625" style="61" bestFit="1" customWidth="1"/>
    <col min="2564" max="2564" width="19.88671875" style="61" bestFit="1" customWidth="1"/>
    <col min="2565" max="2565" width="13.44140625" style="61" customWidth="1"/>
    <col min="2566" max="2566" width="16.44140625" style="61" bestFit="1" customWidth="1"/>
    <col min="2567" max="2567" width="19.88671875" style="61" bestFit="1" customWidth="1"/>
    <col min="2568" max="2568" width="12.44140625" style="61" customWidth="1"/>
    <col min="2569" max="2816" width="8.88671875" style="61"/>
    <col min="2817" max="2817" width="3.44140625" style="61" customWidth="1"/>
    <col min="2818" max="2818" width="37.33203125" style="61" bestFit="1" customWidth="1"/>
    <col min="2819" max="2819" width="16.44140625" style="61" bestFit="1" customWidth="1"/>
    <col min="2820" max="2820" width="19.88671875" style="61" bestFit="1" customWidth="1"/>
    <col min="2821" max="2821" width="13.44140625" style="61" customWidth="1"/>
    <col min="2822" max="2822" width="16.44140625" style="61" bestFit="1" customWidth="1"/>
    <col min="2823" max="2823" width="19.88671875" style="61" bestFit="1" customWidth="1"/>
    <col min="2824" max="2824" width="12.44140625" style="61" customWidth="1"/>
    <col min="2825" max="3072" width="8.88671875" style="61"/>
    <col min="3073" max="3073" width="3.44140625" style="61" customWidth="1"/>
    <col min="3074" max="3074" width="37.33203125" style="61" bestFit="1" customWidth="1"/>
    <col min="3075" max="3075" width="16.44140625" style="61" bestFit="1" customWidth="1"/>
    <col min="3076" max="3076" width="19.88671875" style="61" bestFit="1" customWidth="1"/>
    <col min="3077" max="3077" width="13.44140625" style="61" customWidth="1"/>
    <col min="3078" max="3078" width="16.44140625" style="61" bestFit="1" customWidth="1"/>
    <col min="3079" max="3079" width="19.88671875" style="61" bestFit="1" customWidth="1"/>
    <col min="3080" max="3080" width="12.44140625" style="61" customWidth="1"/>
    <col min="3081" max="3328" width="8.88671875" style="61"/>
    <col min="3329" max="3329" width="3.44140625" style="61" customWidth="1"/>
    <col min="3330" max="3330" width="37.33203125" style="61" bestFit="1" customWidth="1"/>
    <col min="3331" max="3331" width="16.44140625" style="61" bestFit="1" customWidth="1"/>
    <col min="3332" max="3332" width="19.88671875" style="61" bestFit="1" customWidth="1"/>
    <col min="3333" max="3333" width="13.44140625" style="61" customWidth="1"/>
    <col min="3334" max="3334" width="16.44140625" style="61" bestFit="1" customWidth="1"/>
    <col min="3335" max="3335" width="19.88671875" style="61" bestFit="1" customWidth="1"/>
    <col min="3336" max="3336" width="12.44140625" style="61" customWidth="1"/>
    <col min="3337" max="3584" width="8.88671875" style="61"/>
    <col min="3585" max="3585" width="3.44140625" style="61" customWidth="1"/>
    <col min="3586" max="3586" width="37.33203125" style="61" bestFit="1" customWidth="1"/>
    <col min="3587" max="3587" width="16.44140625" style="61" bestFit="1" customWidth="1"/>
    <col min="3588" max="3588" width="19.88671875" style="61" bestFit="1" customWidth="1"/>
    <col min="3589" max="3589" width="13.44140625" style="61" customWidth="1"/>
    <col min="3590" max="3590" width="16.44140625" style="61" bestFit="1" customWidth="1"/>
    <col min="3591" max="3591" width="19.88671875" style="61" bestFit="1" customWidth="1"/>
    <col min="3592" max="3592" width="12.44140625" style="61" customWidth="1"/>
    <col min="3593" max="3840" width="8.88671875" style="61"/>
    <col min="3841" max="3841" width="3.44140625" style="61" customWidth="1"/>
    <col min="3842" max="3842" width="37.33203125" style="61" bestFit="1" customWidth="1"/>
    <col min="3843" max="3843" width="16.44140625" style="61" bestFit="1" customWidth="1"/>
    <col min="3844" max="3844" width="19.88671875" style="61" bestFit="1" customWidth="1"/>
    <col min="3845" max="3845" width="13.44140625" style="61" customWidth="1"/>
    <col min="3846" max="3846" width="16.44140625" style="61" bestFit="1" customWidth="1"/>
    <col min="3847" max="3847" width="19.88671875" style="61" bestFit="1" customWidth="1"/>
    <col min="3848" max="3848" width="12.44140625" style="61" customWidth="1"/>
    <col min="3849" max="4096" width="8.88671875" style="61"/>
    <col min="4097" max="4097" width="3.44140625" style="61" customWidth="1"/>
    <col min="4098" max="4098" width="37.33203125" style="61" bestFit="1" customWidth="1"/>
    <col min="4099" max="4099" width="16.44140625" style="61" bestFit="1" customWidth="1"/>
    <col min="4100" max="4100" width="19.88671875" style="61" bestFit="1" customWidth="1"/>
    <col min="4101" max="4101" width="13.44140625" style="61" customWidth="1"/>
    <col min="4102" max="4102" width="16.44140625" style="61" bestFit="1" customWidth="1"/>
    <col min="4103" max="4103" width="19.88671875" style="61" bestFit="1" customWidth="1"/>
    <col min="4104" max="4104" width="12.44140625" style="61" customWidth="1"/>
    <col min="4105" max="4352" width="8.88671875" style="61"/>
    <col min="4353" max="4353" width="3.44140625" style="61" customWidth="1"/>
    <col min="4354" max="4354" width="37.33203125" style="61" bestFit="1" customWidth="1"/>
    <col min="4355" max="4355" width="16.44140625" style="61" bestFit="1" customWidth="1"/>
    <col min="4356" max="4356" width="19.88671875" style="61" bestFit="1" customWidth="1"/>
    <col min="4357" max="4357" width="13.44140625" style="61" customWidth="1"/>
    <col min="4358" max="4358" width="16.44140625" style="61" bestFit="1" customWidth="1"/>
    <col min="4359" max="4359" width="19.88671875" style="61" bestFit="1" customWidth="1"/>
    <col min="4360" max="4360" width="12.44140625" style="61" customWidth="1"/>
    <col min="4361" max="4608" width="8.88671875" style="61"/>
    <col min="4609" max="4609" width="3.44140625" style="61" customWidth="1"/>
    <col min="4610" max="4610" width="37.33203125" style="61" bestFit="1" customWidth="1"/>
    <col min="4611" max="4611" width="16.44140625" style="61" bestFit="1" customWidth="1"/>
    <col min="4612" max="4612" width="19.88671875" style="61" bestFit="1" customWidth="1"/>
    <col min="4613" max="4613" width="13.44140625" style="61" customWidth="1"/>
    <col min="4614" max="4614" width="16.44140625" style="61" bestFit="1" customWidth="1"/>
    <col min="4615" max="4615" width="19.88671875" style="61" bestFit="1" customWidth="1"/>
    <col min="4616" max="4616" width="12.44140625" style="61" customWidth="1"/>
    <col min="4617" max="4864" width="8.88671875" style="61"/>
    <col min="4865" max="4865" width="3.44140625" style="61" customWidth="1"/>
    <col min="4866" max="4866" width="37.33203125" style="61" bestFit="1" customWidth="1"/>
    <col min="4867" max="4867" width="16.44140625" style="61" bestFit="1" customWidth="1"/>
    <col min="4868" max="4868" width="19.88671875" style="61" bestFit="1" customWidth="1"/>
    <col min="4869" max="4869" width="13.44140625" style="61" customWidth="1"/>
    <col min="4870" max="4870" width="16.44140625" style="61" bestFit="1" customWidth="1"/>
    <col min="4871" max="4871" width="19.88671875" style="61" bestFit="1" customWidth="1"/>
    <col min="4872" max="4872" width="12.44140625" style="61" customWidth="1"/>
    <col min="4873" max="5120" width="8.88671875" style="61"/>
    <col min="5121" max="5121" width="3.44140625" style="61" customWidth="1"/>
    <col min="5122" max="5122" width="37.33203125" style="61" bestFit="1" customWidth="1"/>
    <col min="5123" max="5123" width="16.44140625" style="61" bestFit="1" customWidth="1"/>
    <col min="5124" max="5124" width="19.88671875" style="61" bestFit="1" customWidth="1"/>
    <col min="5125" max="5125" width="13.44140625" style="61" customWidth="1"/>
    <col min="5126" max="5126" width="16.44140625" style="61" bestFit="1" customWidth="1"/>
    <col min="5127" max="5127" width="19.88671875" style="61" bestFit="1" customWidth="1"/>
    <col min="5128" max="5128" width="12.44140625" style="61" customWidth="1"/>
    <col min="5129" max="5376" width="8.88671875" style="61"/>
    <col min="5377" max="5377" width="3.44140625" style="61" customWidth="1"/>
    <col min="5378" max="5378" width="37.33203125" style="61" bestFit="1" customWidth="1"/>
    <col min="5379" max="5379" width="16.44140625" style="61" bestFit="1" customWidth="1"/>
    <col min="5380" max="5380" width="19.88671875" style="61" bestFit="1" customWidth="1"/>
    <col min="5381" max="5381" width="13.44140625" style="61" customWidth="1"/>
    <col min="5382" max="5382" width="16.44140625" style="61" bestFit="1" customWidth="1"/>
    <col min="5383" max="5383" width="19.88671875" style="61" bestFit="1" customWidth="1"/>
    <col min="5384" max="5384" width="12.44140625" style="61" customWidth="1"/>
    <col min="5385" max="5632" width="8.88671875" style="61"/>
    <col min="5633" max="5633" width="3.44140625" style="61" customWidth="1"/>
    <col min="5634" max="5634" width="37.33203125" style="61" bestFit="1" customWidth="1"/>
    <col min="5635" max="5635" width="16.44140625" style="61" bestFit="1" customWidth="1"/>
    <col min="5636" max="5636" width="19.88671875" style="61" bestFit="1" customWidth="1"/>
    <col min="5637" max="5637" width="13.44140625" style="61" customWidth="1"/>
    <col min="5638" max="5638" width="16.44140625" style="61" bestFit="1" customWidth="1"/>
    <col min="5639" max="5639" width="19.88671875" style="61" bestFit="1" customWidth="1"/>
    <col min="5640" max="5640" width="12.44140625" style="61" customWidth="1"/>
    <col min="5641" max="5888" width="8.88671875" style="61"/>
    <col min="5889" max="5889" width="3.44140625" style="61" customWidth="1"/>
    <col min="5890" max="5890" width="37.33203125" style="61" bestFit="1" customWidth="1"/>
    <col min="5891" max="5891" width="16.44140625" style="61" bestFit="1" customWidth="1"/>
    <col min="5892" max="5892" width="19.88671875" style="61" bestFit="1" customWidth="1"/>
    <col min="5893" max="5893" width="13.44140625" style="61" customWidth="1"/>
    <col min="5894" max="5894" width="16.44140625" style="61" bestFit="1" customWidth="1"/>
    <col min="5895" max="5895" width="19.88671875" style="61" bestFit="1" customWidth="1"/>
    <col min="5896" max="5896" width="12.44140625" style="61" customWidth="1"/>
    <col min="5897" max="6144" width="8.88671875" style="61"/>
    <col min="6145" max="6145" width="3.44140625" style="61" customWidth="1"/>
    <col min="6146" max="6146" width="37.33203125" style="61" bestFit="1" customWidth="1"/>
    <col min="6147" max="6147" width="16.44140625" style="61" bestFit="1" customWidth="1"/>
    <col min="6148" max="6148" width="19.88671875" style="61" bestFit="1" customWidth="1"/>
    <col min="6149" max="6149" width="13.44140625" style="61" customWidth="1"/>
    <col min="6150" max="6150" width="16.44140625" style="61" bestFit="1" customWidth="1"/>
    <col min="6151" max="6151" width="19.88671875" style="61" bestFit="1" customWidth="1"/>
    <col min="6152" max="6152" width="12.44140625" style="61" customWidth="1"/>
    <col min="6153" max="6400" width="8.88671875" style="61"/>
    <col min="6401" max="6401" width="3.44140625" style="61" customWidth="1"/>
    <col min="6402" max="6402" width="37.33203125" style="61" bestFit="1" customWidth="1"/>
    <col min="6403" max="6403" width="16.44140625" style="61" bestFit="1" customWidth="1"/>
    <col min="6404" max="6404" width="19.88671875" style="61" bestFit="1" customWidth="1"/>
    <col min="6405" max="6405" width="13.44140625" style="61" customWidth="1"/>
    <col min="6406" max="6406" width="16.44140625" style="61" bestFit="1" customWidth="1"/>
    <col min="6407" max="6407" width="19.88671875" style="61" bestFit="1" customWidth="1"/>
    <col min="6408" max="6408" width="12.44140625" style="61" customWidth="1"/>
    <col min="6409" max="6656" width="8.88671875" style="61"/>
    <col min="6657" max="6657" width="3.44140625" style="61" customWidth="1"/>
    <col min="6658" max="6658" width="37.33203125" style="61" bestFit="1" customWidth="1"/>
    <col min="6659" max="6659" width="16.44140625" style="61" bestFit="1" customWidth="1"/>
    <col min="6660" max="6660" width="19.88671875" style="61" bestFit="1" customWidth="1"/>
    <col min="6661" max="6661" width="13.44140625" style="61" customWidth="1"/>
    <col min="6662" max="6662" width="16.44140625" style="61" bestFit="1" customWidth="1"/>
    <col min="6663" max="6663" width="19.88671875" style="61" bestFit="1" customWidth="1"/>
    <col min="6664" max="6664" width="12.44140625" style="61" customWidth="1"/>
    <col min="6665" max="6912" width="8.88671875" style="61"/>
    <col min="6913" max="6913" width="3.44140625" style="61" customWidth="1"/>
    <col min="6914" max="6914" width="37.33203125" style="61" bestFit="1" customWidth="1"/>
    <col min="6915" max="6915" width="16.44140625" style="61" bestFit="1" customWidth="1"/>
    <col min="6916" max="6916" width="19.88671875" style="61" bestFit="1" customWidth="1"/>
    <col min="6917" max="6917" width="13.44140625" style="61" customWidth="1"/>
    <col min="6918" max="6918" width="16.44140625" style="61" bestFit="1" customWidth="1"/>
    <col min="6919" max="6919" width="19.88671875" style="61" bestFit="1" customWidth="1"/>
    <col min="6920" max="6920" width="12.44140625" style="61" customWidth="1"/>
    <col min="6921" max="7168" width="8.88671875" style="61"/>
    <col min="7169" max="7169" width="3.44140625" style="61" customWidth="1"/>
    <col min="7170" max="7170" width="37.33203125" style="61" bestFit="1" customWidth="1"/>
    <col min="7171" max="7171" width="16.44140625" style="61" bestFit="1" customWidth="1"/>
    <col min="7172" max="7172" width="19.88671875" style="61" bestFit="1" customWidth="1"/>
    <col min="7173" max="7173" width="13.44140625" style="61" customWidth="1"/>
    <col min="7174" max="7174" width="16.44140625" style="61" bestFit="1" customWidth="1"/>
    <col min="7175" max="7175" width="19.88671875" style="61" bestFit="1" customWidth="1"/>
    <col min="7176" max="7176" width="12.44140625" style="61" customWidth="1"/>
    <col min="7177" max="7424" width="8.88671875" style="61"/>
    <col min="7425" max="7425" width="3.44140625" style="61" customWidth="1"/>
    <col min="7426" max="7426" width="37.33203125" style="61" bestFit="1" customWidth="1"/>
    <col min="7427" max="7427" width="16.44140625" style="61" bestFit="1" customWidth="1"/>
    <col min="7428" max="7428" width="19.88671875" style="61" bestFit="1" customWidth="1"/>
    <col min="7429" max="7429" width="13.44140625" style="61" customWidth="1"/>
    <col min="7430" max="7430" width="16.44140625" style="61" bestFit="1" customWidth="1"/>
    <col min="7431" max="7431" width="19.88671875" style="61" bestFit="1" customWidth="1"/>
    <col min="7432" max="7432" width="12.44140625" style="61" customWidth="1"/>
    <col min="7433" max="7680" width="8.88671875" style="61"/>
    <col min="7681" max="7681" width="3.44140625" style="61" customWidth="1"/>
    <col min="7682" max="7682" width="37.33203125" style="61" bestFit="1" customWidth="1"/>
    <col min="7683" max="7683" width="16.44140625" style="61" bestFit="1" customWidth="1"/>
    <col min="7684" max="7684" width="19.88671875" style="61" bestFit="1" customWidth="1"/>
    <col min="7685" max="7685" width="13.44140625" style="61" customWidth="1"/>
    <col min="7686" max="7686" width="16.44140625" style="61" bestFit="1" customWidth="1"/>
    <col min="7687" max="7687" width="19.88671875" style="61" bestFit="1" customWidth="1"/>
    <col min="7688" max="7688" width="12.44140625" style="61" customWidth="1"/>
    <col min="7689" max="7936" width="8.88671875" style="61"/>
    <col min="7937" max="7937" width="3.44140625" style="61" customWidth="1"/>
    <col min="7938" max="7938" width="37.33203125" style="61" bestFit="1" customWidth="1"/>
    <col min="7939" max="7939" width="16.44140625" style="61" bestFit="1" customWidth="1"/>
    <col min="7940" max="7940" width="19.88671875" style="61" bestFit="1" customWidth="1"/>
    <col min="7941" max="7941" width="13.44140625" style="61" customWidth="1"/>
    <col min="7942" max="7942" width="16.44140625" style="61" bestFit="1" customWidth="1"/>
    <col min="7943" max="7943" width="19.88671875" style="61" bestFit="1" customWidth="1"/>
    <col min="7944" max="7944" width="12.44140625" style="61" customWidth="1"/>
    <col min="7945" max="8192" width="8.88671875" style="61"/>
    <col min="8193" max="8193" width="3.44140625" style="61" customWidth="1"/>
    <col min="8194" max="8194" width="37.33203125" style="61" bestFit="1" customWidth="1"/>
    <col min="8195" max="8195" width="16.44140625" style="61" bestFit="1" customWidth="1"/>
    <col min="8196" max="8196" width="19.88671875" style="61" bestFit="1" customWidth="1"/>
    <col min="8197" max="8197" width="13.44140625" style="61" customWidth="1"/>
    <col min="8198" max="8198" width="16.44140625" style="61" bestFit="1" customWidth="1"/>
    <col min="8199" max="8199" width="19.88671875" style="61" bestFit="1" customWidth="1"/>
    <col min="8200" max="8200" width="12.44140625" style="61" customWidth="1"/>
    <col min="8201" max="8448" width="8.88671875" style="61"/>
    <col min="8449" max="8449" width="3.44140625" style="61" customWidth="1"/>
    <col min="8450" max="8450" width="37.33203125" style="61" bestFit="1" customWidth="1"/>
    <col min="8451" max="8451" width="16.44140625" style="61" bestFit="1" customWidth="1"/>
    <col min="8452" max="8452" width="19.88671875" style="61" bestFit="1" customWidth="1"/>
    <col min="8453" max="8453" width="13.44140625" style="61" customWidth="1"/>
    <col min="8454" max="8454" width="16.44140625" style="61" bestFit="1" customWidth="1"/>
    <col min="8455" max="8455" width="19.88671875" style="61" bestFit="1" customWidth="1"/>
    <col min="8456" max="8456" width="12.44140625" style="61" customWidth="1"/>
    <col min="8457" max="8704" width="8.88671875" style="61"/>
    <col min="8705" max="8705" width="3.44140625" style="61" customWidth="1"/>
    <col min="8706" max="8706" width="37.33203125" style="61" bestFit="1" customWidth="1"/>
    <col min="8707" max="8707" width="16.44140625" style="61" bestFit="1" customWidth="1"/>
    <col min="8708" max="8708" width="19.88671875" style="61" bestFit="1" customWidth="1"/>
    <col min="8709" max="8709" width="13.44140625" style="61" customWidth="1"/>
    <col min="8710" max="8710" width="16.44140625" style="61" bestFit="1" customWidth="1"/>
    <col min="8711" max="8711" width="19.88671875" style="61" bestFit="1" customWidth="1"/>
    <col min="8712" max="8712" width="12.44140625" style="61" customWidth="1"/>
    <col min="8713" max="8960" width="8.88671875" style="61"/>
    <col min="8961" max="8961" width="3.44140625" style="61" customWidth="1"/>
    <col min="8962" max="8962" width="37.33203125" style="61" bestFit="1" customWidth="1"/>
    <col min="8963" max="8963" width="16.44140625" style="61" bestFit="1" customWidth="1"/>
    <col min="8964" max="8964" width="19.88671875" style="61" bestFit="1" customWidth="1"/>
    <col min="8965" max="8965" width="13.44140625" style="61" customWidth="1"/>
    <col min="8966" max="8966" width="16.44140625" style="61" bestFit="1" customWidth="1"/>
    <col min="8967" max="8967" width="19.88671875" style="61" bestFit="1" customWidth="1"/>
    <col min="8968" max="8968" width="12.44140625" style="61" customWidth="1"/>
    <col min="8969" max="9216" width="8.88671875" style="61"/>
    <col min="9217" max="9217" width="3.44140625" style="61" customWidth="1"/>
    <col min="9218" max="9218" width="37.33203125" style="61" bestFit="1" customWidth="1"/>
    <col min="9219" max="9219" width="16.44140625" style="61" bestFit="1" customWidth="1"/>
    <col min="9220" max="9220" width="19.88671875" style="61" bestFit="1" customWidth="1"/>
    <col min="9221" max="9221" width="13.44140625" style="61" customWidth="1"/>
    <col min="9222" max="9222" width="16.44140625" style="61" bestFit="1" customWidth="1"/>
    <col min="9223" max="9223" width="19.88671875" style="61" bestFit="1" customWidth="1"/>
    <col min="9224" max="9224" width="12.44140625" style="61" customWidth="1"/>
    <col min="9225" max="9472" width="8.88671875" style="61"/>
    <col min="9473" max="9473" width="3.44140625" style="61" customWidth="1"/>
    <col min="9474" max="9474" width="37.33203125" style="61" bestFit="1" customWidth="1"/>
    <col min="9475" max="9475" width="16.44140625" style="61" bestFit="1" customWidth="1"/>
    <col min="9476" max="9476" width="19.88671875" style="61" bestFit="1" customWidth="1"/>
    <col min="9477" max="9477" width="13.44140625" style="61" customWidth="1"/>
    <col min="9478" max="9478" width="16.44140625" style="61" bestFit="1" customWidth="1"/>
    <col min="9479" max="9479" width="19.88671875" style="61" bestFit="1" customWidth="1"/>
    <col min="9480" max="9480" width="12.44140625" style="61" customWidth="1"/>
    <col min="9481" max="9728" width="8.88671875" style="61"/>
    <col min="9729" max="9729" width="3.44140625" style="61" customWidth="1"/>
    <col min="9730" max="9730" width="37.33203125" style="61" bestFit="1" customWidth="1"/>
    <col min="9731" max="9731" width="16.44140625" style="61" bestFit="1" customWidth="1"/>
    <col min="9732" max="9732" width="19.88671875" style="61" bestFit="1" customWidth="1"/>
    <col min="9733" max="9733" width="13.44140625" style="61" customWidth="1"/>
    <col min="9734" max="9734" width="16.44140625" style="61" bestFit="1" customWidth="1"/>
    <col min="9735" max="9735" width="19.88671875" style="61" bestFit="1" customWidth="1"/>
    <col min="9736" max="9736" width="12.44140625" style="61" customWidth="1"/>
    <col min="9737" max="9984" width="8.88671875" style="61"/>
    <col min="9985" max="9985" width="3.44140625" style="61" customWidth="1"/>
    <col min="9986" max="9986" width="37.33203125" style="61" bestFit="1" customWidth="1"/>
    <col min="9987" max="9987" width="16.44140625" style="61" bestFit="1" customWidth="1"/>
    <col min="9988" max="9988" width="19.88671875" style="61" bestFit="1" customWidth="1"/>
    <col min="9989" max="9989" width="13.44140625" style="61" customWidth="1"/>
    <col min="9990" max="9990" width="16.44140625" style="61" bestFit="1" customWidth="1"/>
    <col min="9991" max="9991" width="19.88671875" style="61" bestFit="1" customWidth="1"/>
    <col min="9992" max="9992" width="12.44140625" style="61" customWidth="1"/>
    <col min="9993" max="10240" width="8.88671875" style="61"/>
    <col min="10241" max="10241" width="3.44140625" style="61" customWidth="1"/>
    <col min="10242" max="10242" width="37.33203125" style="61" bestFit="1" customWidth="1"/>
    <col min="10243" max="10243" width="16.44140625" style="61" bestFit="1" customWidth="1"/>
    <col min="10244" max="10244" width="19.88671875" style="61" bestFit="1" customWidth="1"/>
    <col min="10245" max="10245" width="13.44140625" style="61" customWidth="1"/>
    <col min="10246" max="10246" width="16.44140625" style="61" bestFit="1" customWidth="1"/>
    <col min="10247" max="10247" width="19.88671875" style="61" bestFit="1" customWidth="1"/>
    <col min="10248" max="10248" width="12.44140625" style="61" customWidth="1"/>
    <col min="10249" max="10496" width="8.88671875" style="61"/>
    <col min="10497" max="10497" width="3.44140625" style="61" customWidth="1"/>
    <col min="10498" max="10498" width="37.33203125" style="61" bestFit="1" customWidth="1"/>
    <col min="10499" max="10499" width="16.44140625" style="61" bestFit="1" customWidth="1"/>
    <col min="10500" max="10500" width="19.88671875" style="61" bestFit="1" customWidth="1"/>
    <col min="10501" max="10501" width="13.44140625" style="61" customWidth="1"/>
    <col min="10502" max="10502" width="16.44140625" style="61" bestFit="1" customWidth="1"/>
    <col min="10503" max="10503" width="19.88671875" style="61" bestFit="1" customWidth="1"/>
    <col min="10504" max="10504" width="12.44140625" style="61" customWidth="1"/>
    <col min="10505" max="10752" width="8.88671875" style="61"/>
    <col min="10753" max="10753" width="3.44140625" style="61" customWidth="1"/>
    <col min="10754" max="10754" width="37.33203125" style="61" bestFit="1" customWidth="1"/>
    <col min="10755" max="10755" width="16.44140625" style="61" bestFit="1" customWidth="1"/>
    <col min="10756" max="10756" width="19.88671875" style="61" bestFit="1" customWidth="1"/>
    <col min="10757" max="10757" width="13.44140625" style="61" customWidth="1"/>
    <col min="10758" max="10758" width="16.44140625" style="61" bestFit="1" customWidth="1"/>
    <col min="10759" max="10759" width="19.88671875" style="61" bestFit="1" customWidth="1"/>
    <col min="10760" max="10760" width="12.44140625" style="61" customWidth="1"/>
    <col min="10761" max="11008" width="8.88671875" style="61"/>
    <col min="11009" max="11009" width="3.44140625" style="61" customWidth="1"/>
    <col min="11010" max="11010" width="37.33203125" style="61" bestFit="1" customWidth="1"/>
    <col min="11011" max="11011" width="16.44140625" style="61" bestFit="1" customWidth="1"/>
    <col min="11012" max="11012" width="19.88671875" style="61" bestFit="1" customWidth="1"/>
    <col min="11013" max="11013" width="13.44140625" style="61" customWidth="1"/>
    <col min="11014" max="11014" width="16.44140625" style="61" bestFit="1" customWidth="1"/>
    <col min="11015" max="11015" width="19.88671875" style="61" bestFit="1" customWidth="1"/>
    <col min="11016" max="11016" width="12.44140625" style="61" customWidth="1"/>
    <col min="11017" max="11264" width="8.88671875" style="61"/>
    <col min="11265" max="11265" width="3.44140625" style="61" customWidth="1"/>
    <col min="11266" max="11266" width="37.33203125" style="61" bestFit="1" customWidth="1"/>
    <col min="11267" max="11267" width="16.44140625" style="61" bestFit="1" customWidth="1"/>
    <col min="11268" max="11268" width="19.88671875" style="61" bestFit="1" customWidth="1"/>
    <col min="11269" max="11269" width="13.44140625" style="61" customWidth="1"/>
    <col min="11270" max="11270" width="16.44140625" style="61" bestFit="1" customWidth="1"/>
    <col min="11271" max="11271" width="19.88671875" style="61" bestFit="1" customWidth="1"/>
    <col min="11272" max="11272" width="12.44140625" style="61" customWidth="1"/>
    <col min="11273" max="11520" width="8.88671875" style="61"/>
    <col min="11521" max="11521" width="3.44140625" style="61" customWidth="1"/>
    <col min="11522" max="11522" width="37.33203125" style="61" bestFit="1" customWidth="1"/>
    <col min="11523" max="11523" width="16.44140625" style="61" bestFit="1" customWidth="1"/>
    <col min="11524" max="11524" width="19.88671875" style="61" bestFit="1" customWidth="1"/>
    <col min="11525" max="11525" width="13.44140625" style="61" customWidth="1"/>
    <col min="11526" max="11526" width="16.44140625" style="61" bestFit="1" customWidth="1"/>
    <col min="11527" max="11527" width="19.88671875" style="61" bestFit="1" customWidth="1"/>
    <col min="11528" max="11528" width="12.44140625" style="61" customWidth="1"/>
    <col min="11529" max="11776" width="8.88671875" style="61"/>
    <col min="11777" max="11777" width="3.44140625" style="61" customWidth="1"/>
    <col min="11778" max="11778" width="37.33203125" style="61" bestFit="1" customWidth="1"/>
    <col min="11779" max="11779" width="16.44140625" style="61" bestFit="1" customWidth="1"/>
    <col min="11780" max="11780" width="19.88671875" style="61" bestFit="1" customWidth="1"/>
    <col min="11781" max="11781" width="13.44140625" style="61" customWidth="1"/>
    <col min="11782" max="11782" width="16.44140625" style="61" bestFit="1" customWidth="1"/>
    <col min="11783" max="11783" width="19.88671875" style="61" bestFit="1" customWidth="1"/>
    <col min="11784" max="11784" width="12.44140625" style="61" customWidth="1"/>
    <col min="11785" max="12032" width="8.88671875" style="61"/>
    <col min="12033" max="12033" width="3.44140625" style="61" customWidth="1"/>
    <col min="12034" max="12034" width="37.33203125" style="61" bestFit="1" customWidth="1"/>
    <col min="12035" max="12035" width="16.44140625" style="61" bestFit="1" customWidth="1"/>
    <col min="12036" max="12036" width="19.88671875" style="61" bestFit="1" customWidth="1"/>
    <col min="12037" max="12037" width="13.44140625" style="61" customWidth="1"/>
    <col min="12038" max="12038" width="16.44140625" style="61" bestFit="1" customWidth="1"/>
    <col min="12039" max="12039" width="19.88671875" style="61" bestFit="1" customWidth="1"/>
    <col min="12040" max="12040" width="12.44140625" style="61" customWidth="1"/>
    <col min="12041" max="12288" width="8.88671875" style="61"/>
    <col min="12289" max="12289" width="3.44140625" style="61" customWidth="1"/>
    <col min="12290" max="12290" width="37.33203125" style="61" bestFit="1" customWidth="1"/>
    <col min="12291" max="12291" width="16.44140625" style="61" bestFit="1" customWidth="1"/>
    <col min="12292" max="12292" width="19.88671875" style="61" bestFit="1" customWidth="1"/>
    <col min="12293" max="12293" width="13.44140625" style="61" customWidth="1"/>
    <col min="12294" max="12294" width="16.44140625" style="61" bestFit="1" customWidth="1"/>
    <col min="12295" max="12295" width="19.88671875" style="61" bestFit="1" customWidth="1"/>
    <col min="12296" max="12296" width="12.44140625" style="61" customWidth="1"/>
    <col min="12297" max="12544" width="8.88671875" style="61"/>
    <col min="12545" max="12545" width="3.44140625" style="61" customWidth="1"/>
    <col min="12546" max="12546" width="37.33203125" style="61" bestFit="1" customWidth="1"/>
    <col min="12547" max="12547" width="16.44140625" style="61" bestFit="1" customWidth="1"/>
    <col min="12548" max="12548" width="19.88671875" style="61" bestFit="1" customWidth="1"/>
    <col min="12549" max="12549" width="13.44140625" style="61" customWidth="1"/>
    <col min="12550" max="12550" width="16.44140625" style="61" bestFit="1" customWidth="1"/>
    <col min="12551" max="12551" width="19.88671875" style="61" bestFit="1" customWidth="1"/>
    <col min="12552" max="12552" width="12.44140625" style="61" customWidth="1"/>
    <col min="12553" max="12800" width="8.88671875" style="61"/>
    <col min="12801" max="12801" width="3.44140625" style="61" customWidth="1"/>
    <col min="12802" max="12802" width="37.33203125" style="61" bestFit="1" customWidth="1"/>
    <col min="12803" max="12803" width="16.44140625" style="61" bestFit="1" customWidth="1"/>
    <col min="12804" max="12804" width="19.88671875" style="61" bestFit="1" customWidth="1"/>
    <col min="12805" max="12805" width="13.44140625" style="61" customWidth="1"/>
    <col min="12806" max="12806" width="16.44140625" style="61" bestFit="1" customWidth="1"/>
    <col min="12807" max="12807" width="19.88671875" style="61" bestFit="1" customWidth="1"/>
    <col min="12808" max="12808" width="12.44140625" style="61" customWidth="1"/>
    <col min="12809" max="13056" width="8.88671875" style="61"/>
    <col min="13057" max="13057" width="3.44140625" style="61" customWidth="1"/>
    <col min="13058" max="13058" width="37.33203125" style="61" bestFit="1" customWidth="1"/>
    <col min="13059" max="13059" width="16.44140625" style="61" bestFit="1" customWidth="1"/>
    <col min="13060" max="13060" width="19.88671875" style="61" bestFit="1" customWidth="1"/>
    <col min="13061" max="13061" width="13.44140625" style="61" customWidth="1"/>
    <col min="13062" max="13062" width="16.44140625" style="61" bestFit="1" customWidth="1"/>
    <col min="13063" max="13063" width="19.88671875" style="61" bestFit="1" customWidth="1"/>
    <col min="13064" max="13064" width="12.44140625" style="61" customWidth="1"/>
    <col min="13065" max="13312" width="8.88671875" style="61"/>
    <col min="13313" max="13313" width="3.44140625" style="61" customWidth="1"/>
    <col min="13314" max="13314" width="37.33203125" style="61" bestFit="1" customWidth="1"/>
    <col min="13315" max="13315" width="16.44140625" style="61" bestFit="1" customWidth="1"/>
    <col min="13316" max="13316" width="19.88671875" style="61" bestFit="1" customWidth="1"/>
    <col min="13317" max="13317" width="13.44140625" style="61" customWidth="1"/>
    <col min="13318" max="13318" width="16.44140625" style="61" bestFit="1" customWidth="1"/>
    <col min="13319" max="13319" width="19.88671875" style="61" bestFit="1" customWidth="1"/>
    <col min="13320" max="13320" width="12.44140625" style="61" customWidth="1"/>
    <col min="13321" max="13568" width="8.88671875" style="61"/>
    <col min="13569" max="13569" width="3.44140625" style="61" customWidth="1"/>
    <col min="13570" max="13570" width="37.33203125" style="61" bestFit="1" customWidth="1"/>
    <col min="13571" max="13571" width="16.44140625" style="61" bestFit="1" customWidth="1"/>
    <col min="13572" max="13572" width="19.88671875" style="61" bestFit="1" customWidth="1"/>
    <col min="13573" max="13573" width="13.44140625" style="61" customWidth="1"/>
    <col min="13574" max="13574" width="16.44140625" style="61" bestFit="1" customWidth="1"/>
    <col min="13575" max="13575" width="19.88671875" style="61" bestFit="1" customWidth="1"/>
    <col min="13576" max="13576" width="12.44140625" style="61" customWidth="1"/>
    <col min="13577" max="13824" width="8.88671875" style="61"/>
    <col min="13825" max="13825" width="3.44140625" style="61" customWidth="1"/>
    <col min="13826" max="13826" width="37.33203125" style="61" bestFit="1" customWidth="1"/>
    <col min="13827" max="13827" width="16.44140625" style="61" bestFit="1" customWidth="1"/>
    <col min="13828" max="13828" width="19.88671875" style="61" bestFit="1" customWidth="1"/>
    <col min="13829" max="13829" width="13.44140625" style="61" customWidth="1"/>
    <col min="13830" max="13830" width="16.44140625" style="61" bestFit="1" customWidth="1"/>
    <col min="13831" max="13831" width="19.88671875" style="61" bestFit="1" customWidth="1"/>
    <col min="13832" max="13832" width="12.44140625" style="61" customWidth="1"/>
    <col min="13833" max="14080" width="8.88671875" style="61"/>
    <col min="14081" max="14081" width="3.44140625" style="61" customWidth="1"/>
    <col min="14082" max="14082" width="37.33203125" style="61" bestFit="1" customWidth="1"/>
    <col min="14083" max="14083" width="16.44140625" style="61" bestFit="1" customWidth="1"/>
    <col min="14084" max="14084" width="19.88671875" style="61" bestFit="1" customWidth="1"/>
    <col min="14085" max="14085" width="13.44140625" style="61" customWidth="1"/>
    <col min="14086" max="14086" width="16.44140625" style="61" bestFit="1" customWidth="1"/>
    <col min="14087" max="14087" width="19.88671875" style="61" bestFit="1" customWidth="1"/>
    <col min="14088" max="14088" width="12.44140625" style="61" customWidth="1"/>
    <col min="14089" max="14336" width="8.88671875" style="61"/>
    <col min="14337" max="14337" width="3.44140625" style="61" customWidth="1"/>
    <col min="14338" max="14338" width="37.33203125" style="61" bestFit="1" customWidth="1"/>
    <col min="14339" max="14339" width="16.44140625" style="61" bestFit="1" customWidth="1"/>
    <col min="14340" max="14340" width="19.88671875" style="61" bestFit="1" customWidth="1"/>
    <col min="14341" max="14341" width="13.44140625" style="61" customWidth="1"/>
    <col min="14342" max="14342" width="16.44140625" style="61" bestFit="1" customWidth="1"/>
    <col min="14343" max="14343" width="19.88671875" style="61" bestFit="1" customWidth="1"/>
    <col min="14344" max="14344" width="12.44140625" style="61" customWidth="1"/>
    <col min="14345" max="14592" width="8.88671875" style="61"/>
    <col min="14593" max="14593" width="3.44140625" style="61" customWidth="1"/>
    <col min="14594" max="14594" width="37.33203125" style="61" bestFit="1" customWidth="1"/>
    <col min="14595" max="14595" width="16.44140625" style="61" bestFit="1" customWidth="1"/>
    <col min="14596" max="14596" width="19.88671875" style="61" bestFit="1" customWidth="1"/>
    <col min="14597" max="14597" width="13.44140625" style="61" customWidth="1"/>
    <col min="14598" max="14598" width="16.44140625" style="61" bestFit="1" customWidth="1"/>
    <col min="14599" max="14599" width="19.88671875" style="61" bestFit="1" customWidth="1"/>
    <col min="14600" max="14600" width="12.44140625" style="61" customWidth="1"/>
    <col min="14601" max="14848" width="8.88671875" style="61"/>
    <col min="14849" max="14849" width="3.44140625" style="61" customWidth="1"/>
    <col min="14850" max="14850" width="37.33203125" style="61" bestFit="1" customWidth="1"/>
    <col min="14851" max="14851" width="16.44140625" style="61" bestFit="1" customWidth="1"/>
    <col min="14852" max="14852" width="19.88671875" style="61" bestFit="1" customWidth="1"/>
    <col min="14853" max="14853" width="13.44140625" style="61" customWidth="1"/>
    <col min="14854" max="14854" width="16.44140625" style="61" bestFit="1" customWidth="1"/>
    <col min="14855" max="14855" width="19.88671875" style="61" bestFit="1" customWidth="1"/>
    <col min="14856" max="14856" width="12.44140625" style="61" customWidth="1"/>
    <col min="14857" max="15104" width="8.88671875" style="61"/>
    <col min="15105" max="15105" width="3.44140625" style="61" customWidth="1"/>
    <col min="15106" max="15106" width="37.33203125" style="61" bestFit="1" customWidth="1"/>
    <col min="15107" max="15107" width="16.44140625" style="61" bestFit="1" customWidth="1"/>
    <col min="15108" max="15108" width="19.88671875" style="61" bestFit="1" customWidth="1"/>
    <col min="15109" max="15109" width="13.44140625" style="61" customWidth="1"/>
    <col min="15110" max="15110" width="16.44140625" style="61" bestFit="1" customWidth="1"/>
    <col min="15111" max="15111" width="19.88671875" style="61" bestFit="1" customWidth="1"/>
    <col min="15112" max="15112" width="12.44140625" style="61" customWidth="1"/>
    <col min="15113" max="15360" width="8.88671875" style="61"/>
    <col min="15361" max="15361" width="3.44140625" style="61" customWidth="1"/>
    <col min="15362" max="15362" width="37.33203125" style="61" bestFit="1" customWidth="1"/>
    <col min="15363" max="15363" width="16.44140625" style="61" bestFit="1" customWidth="1"/>
    <col min="15364" max="15364" width="19.88671875" style="61" bestFit="1" customWidth="1"/>
    <col min="15365" max="15365" width="13.44140625" style="61" customWidth="1"/>
    <col min="15366" max="15366" width="16.44140625" style="61" bestFit="1" customWidth="1"/>
    <col min="15367" max="15367" width="19.88671875" style="61" bestFit="1" customWidth="1"/>
    <col min="15368" max="15368" width="12.44140625" style="61" customWidth="1"/>
    <col min="15369" max="15616" width="8.88671875" style="61"/>
    <col min="15617" max="15617" width="3.44140625" style="61" customWidth="1"/>
    <col min="15618" max="15618" width="37.33203125" style="61" bestFit="1" customWidth="1"/>
    <col min="15619" max="15619" width="16.44140625" style="61" bestFit="1" customWidth="1"/>
    <col min="15620" max="15620" width="19.88671875" style="61" bestFit="1" customWidth="1"/>
    <col min="15621" max="15621" width="13.44140625" style="61" customWidth="1"/>
    <col min="15622" max="15622" width="16.44140625" style="61" bestFit="1" customWidth="1"/>
    <col min="15623" max="15623" width="19.88671875" style="61" bestFit="1" customWidth="1"/>
    <col min="15624" max="15624" width="12.44140625" style="61" customWidth="1"/>
    <col min="15625" max="15872" width="8.88671875" style="61"/>
    <col min="15873" max="15873" width="3.44140625" style="61" customWidth="1"/>
    <col min="15874" max="15874" width="37.33203125" style="61" bestFit="1" customWidth="1"/>
    <col min="15875" max="15875" width="16.44140625" style="61" bestFit="1" customWidth="1"/>
    <col min="15876" max="15876" width="19.88671875" style="61" bestFit="1" customWidth="1"/>
    <col min="15877" max="15877" width="13.44140625" style="61" customWidth="1"/>
    <col min="15878" max="15878" width="16.44140625" style="61" bestFit="1" customWidth="1"/>
    <col min="15879" max="15879" width="19.88671875" style="61" bestFit="1" customWidth="1"/>
    <col min="15880" max="15880" width="12.44140625" style="61" customWidth="1"/>
    <col min="15881" max="16128" width="8.88671875" style="61"/>
    <col min="16129" max="16129" width="3.44140625" style="61" customWidth="1"/>
    <col min="16130" max="16130" width="37.33203125" style="61" bestFit="1" customWidth="1"/>
    <col min="16131" max="16131" width="16.44140625" style="61" bestFit="1" customWidth="1"/>
    <col min="16132" max="16132" width="19.88671875" style="61" bestFit="1" customWidth="1"/>
    <col min="16133" max="16133" width="13.44140625" style="61" customWidth="1"/>
    <col min="16134" max="16134" width="16.44140625" style="61" bestFit="1" customWidth="1"/>
    <col min="16135" max="16135" width="19.88671875" style="61" bestFit="1" customWidth="1"/>
    <col min="16136" max="16136" width="12.44140625" style="61" customWidth="1"/>
    <col min="16137" max="16384" width="8.88671875" style="61"/>
  </cols>
  <sheetData>
    <row r="1" spans="1:13" ht="21">
      <c r="B1" s="618"/>
      <c r="C1" s="618"/>
      <c r="D1" s="618"/>
      <c r="E1" s="618"/>
      <c r="F1" s="618"/>
      <c r="G1" s="618"/>
      <c r="H1" s="618"/>
    </row>
    <row r="2" spans="1:13" ht="18.600000000000001" customHeight="1">
      <c r="B2" s="618"/>
      <c r="C2" s="618"/>
      <c r="D2" s="618"/>
      <c r="E2" s="618"/>
      <c r="F2" s="618"/>
      <c r="G2" s="618"/>
      <c r="H2" s="618"/>
    </row>
    <row r="3" spans="1:13" ht="21">
      <c r="A3" s="62" t="s">
        <v>141</v>
      </c>
      <c r="B3" s="180" t="s">
        <v>142</v>
      </c>
      <c r="C3" s="224"/>
      <c r="D3" s="224"/>
      <c r="E3" s="224"/>
      <c r="F3" s="224"/>
      <c r="G3" s="224"/>
      <c r="H3" s="224"/>
    </row>
    <row r="5" spans="1:13" ht="16.2" thickBot="1"/>
    <row r="6" spans="1:13">
      <c r="B6" s="64"/>
      <c r="C6" s="619" t="s">
        <v>948</v>
      </c>
      <c r="D6" s="620"/>
      <c r="E6" s="621"/>
      <c r="F6" s="619" t="s">
        <v>770</v>
      </c>
      <c r="G6" s="620"/>
      <c r="H6" s="621"/>
    </row>
    <row r="7" spans="1:13">
      <c r="B7" s="65" t="s">
        <v>143</v>
      </c>
      <c r="C7" s="66" t="s">
        <v>13</v>
      </c>
      <c r="D7" s="67" t="s">
        <v>14</v>
      </c>
      <c r="E7" s="68" t="s">
        <v>88</v>
      </c>
      <c r="F7" s="66" t="s">
        <v>13</v>
      </c>
      <c r="G7" s="67" t="s">
        <v>14</v>
      </c>
      <c r="H7" s="68" t="s">
        <v>88</v>
      </c>
    </row>
    <row r="8" spans="1:13">
      <c r="B8" s="69" t="s">
        <v>144</v>
      </c>
      <c r="C8" s="66"/>
      <c r="D8" s="67"/>
      <c r="E8" s="68"/>
      <c r="F8" s="66"/>
      <c r="G8" s="67"/>
      <c r="H8" s="68"/>
    </row>
    <row r="9" spans="1:13">
      <c r="B9" s="65" t="s">
        <v>145</v>
      </c>
      <c r="C9" s="70">
        <v>63380</v>
      </c>
      <c r="D9" s="67">
        <v>10000</v>
      </c>
      <c r="E9" s="68">
        <v>73380</v>
      </c>
      <c r="F9" s="70">
        <v>87400</v>
      </c>
      <c r="G9" s="67"/>
      <c r="H9" s="68">
        <v>87400</v>
      </c>
    </row>
    <row r="10" spans="1:13">
      <c r="B10" s="65" t="s">
        <v>146</v>
      </c>
      <c r="C10" s="70">
        <v>172000</v>
      </c>
      <c r="D10" s="67"/>
      <c r="E10" s="68">
        <v>172000</v>
      </c>
      <c r="F10" s="70">
        <v>160000</v>
      </c>
      <c r="G10" s="67" t="s">
        <v>447</v>
      </c>
      <c r="H10" s="68">
        <v>160000</v>
      </c>
    </row>
    <row r="11" spans="1:13">
      <c r="B11" s="65" t="s">
        <v>1385</v>
      </c>
      <c r="C11" s="70">
        <v>40000</v>
      </c>
      <c r="D11" s="67"/>
      <c r="E11" s="68">
        <v>40000</v>
      </c>
      <c r="F11" s="70"/>
      <c r="G11" s="67"/>
      <c r="H11" s="68">
        <v>0</v>
      </c>
    </row>
    <row r="12" spans="1:13">
      <c r="B12" s="65" t="s">
        <v>771</v>
      </c>
      <c r="C12" s="70"/>
      <c r="D12" s="76"/>
      <c r="E12" s="68"/>
      <c r="F12" s="70"/>
      <c r="G12" s="67">
        <v>20000</v>
      </c>
      <c r="H12" s="68">
        <v>20000</v>
      </c>
      <c r="M12" s="63"/>
    </row>
    <row r="13" spans="1:13">
      <c r="B13" s="65" t="s">
        <v>947</v>
      </c>
      <c r="C13" s="290"/>
      <c r="D13" s="67">
        <v>10000</v>
      </c>
      <c r="E13" s="68">
        <v>10000</v>
      </c>
      <c r="F13" s="70"/>
      <c r="G13" s="67"/>
      <c r="H13" s="68">
        <v>0</v>
      </c>
      <c r="M13" s="63"/>
    </row>
    <row r="14" spans="1:13">
      <c r="B14" s="65" t="s">
        <v>247</v>
      </c>
      <c r="C14" s="290"/>
      <c r="D14" s="67">
        <v>90000</v>
      </c>
      <c r="E14" s="68">
        <v>90000</v>
      </c>
      <c r="F14" s="70"/>
      <c r="G14" s="67">
        <v>40000</v>
      </c>
      <c r="H14" s="68">
        <v>40000</v>
      </c>
      <c r="M14" s="63"/>
    </row>
    <row r="15" spans="1:13">
      <c r="B15" s="65" t="s">
        <v>147</v>
      </c>
      <c r="C15" s="70">
        <v>10000</v>
      </c>
      <c r="D15" s="67"/>
      <c r="E15" s="68">
        <v>10000</v>
      </c>
      <c r="F15" s="70">
        <v>10000</v>
      </c>
      <c r="G15" s="67"/>
      <c r="H15" s="68">
        <v>10000</v>
      </c>
    </row>
    <row r="16" spans="1:13" s="71" customFormat="1">
      <c r="B16" s="69" t="s">
        <v>148</v>
      </c>
      <c r="C16" s="72">
        <v>285380</v>
      </c>
      <c r="D16" s="73">
        <v>110000</v>
      </c>
      <c r="E16" s="74">
        <v>395380</v>
      </c>
      <c r="F16" s="72">
        <v>257400</v>
      </c>
      <c r="G16" s="73">
        <v>60000</v>
      </c>
      <c r="H16" s="74">
        <v>317400</v>
      </c>
    </row>
    <row r="17" spans="2:11">
      <c r="B17" s="69" t="s">
        <v>149</v>
      </c>
      <c r="C17" s="70"/>
      <c r="D17" s="67"/>
      <c r="E17" s="68"/>
      <c r="F17" s="70"/>
      <c r="G17" s="67"/>
      <c r="H17" s="75">
        <v>0</v>
      </c>
    </row>
    <row r="18" spans="2:11">
      <c r="B18" s="65" t="s">
        <v>150</v>
      </c>
      <c r="C18" s="70">
        <v>3545</v>
      </c>
      <c r="D18" s="67"/>
      <c r="E18" s="68">
        <v>3545</v>
      </c>
      <c r="F18" s="70">
        <v>5700</v>
      </c>
      <c r="G18" s="67"/>
      <c r="H18" s="68">
        <v>5700</v>
      </c>
    </row>
    <row r="19" spans="2:11">
      <c r="B19" s="65" t="s">
        <v>151</v>
      </c>
      <c r="C19" s="70">
        <v>22933</v>
      </c>
      <c r="D19" s="67"/>
      <c r="E19" s="68">
        <v>22933</v>
      </c>
      <c r="F19" s="70">
        <v>21030</v>
      </c>
      <c r="G19" s="67"/>
      <c r="H19" s="68">
        <v>21030</v>
      </c>
    </row>
    <row r="20" spans="2:11">
      <c r="B20" s="65" t="s">
        <v>152</v>
      </c>
      <c r="C20" s="70">
        <v>258902</v>
      </c>
      <c r="D20" s="76">
        <v>110000</v>
      </c>
      <c r="E20" s="68">
        <v>368902</v>
      </c>
      <c r="F20" s="70">
        <v>230670</v>
      </c>
      <c r="G20" s="76">
        <v>60000</v>
      </c>
      <c r="H20" s="68">
        <v>290670</v>
      </c>
    </row>
    <row r="21" spans="2:11" s="71" customFormat="1" ht="16.2" thickBot="1">
      <c r="B21" s="77" t="s">
        <v>153</v>
      </c>
      <c r="C21" s="78">
        <v>285380</v>
      </c>
      <c r="D21" s="79">
        <v>110000</v>
      </c>
      <c r="E21" s="80">
        <v>395380</v>
      </c>
      <c r="F21" s="78">
        <v>257400</v>
      </c>
      <c r="G21" s="79">
        <v>60000</v>
      </c>
      <c r="H21" s="80">
        <v>317400</v>
      </c>
    </row>
    <row r="23" spans="2:11">
      <c r="K23" s="63"/>
    </row>
  </sheetData>
  <mergeCells count="4">
    <mergeCell ref="B1:H1"/>
    <mergeCell ref="B2:H2"/>
    <mergeCell ref="C6:E6"/>
    <mergeCell ref="F6:H6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2023</oddHeader>
    <oddFooter>&amp;L&amp;D&amp;Cעמוד &amp;P מתוך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53</vt:i4>
      </vt:variant>
      <vt:variant>
        <vt:lpstr>טווחים בעלי שם</vt:lpstr>
      </vt:variant>
      <vt:variant>
        <vt:i4>53</vt:i4>
      </vt:variant>
    </vt:vector>
  </HeadingPairs>
  <TitlesOfParts>
    <vt:vector size="106" baseType="lpstr">
      <vt:lpstr>כותרת</vt:lpstr>
      <vt:lpstr>תוכן ענינים</vt:lpstr>
      <vt:lpstr>מבוא</vt:lpstr>
      <vt:lpstr>תקציב 2022 </vt:lpstr>
      <vt:lpstr>תקציב 2023 </vt:lpstr>
      <vt:lpstr>תקציב 2023 פרקים </vt:lpstr>
      <vt:lpstr>תקציב 2023  אגפים </vt:lpstr>
      <vt:lpstr>תקציב 2023  מקורות </vt:lpstr>
      <vt:lpstr>תקציב 2023 קרנות הרשות </vt:lpstr>
      <vt:lpstr>תקציב 2023 מקורות אחרים </vt:lpstr>
      <vt:lpstr>תרשים אגפים</vt:lpstr>
      <vt:lpstr>ריכוז אגפים </vt:lpstr>
      <vt:lpstr>תרשים פרקים</vt:lpstr>
      <vt:lpstr>ריכוז פרקים </vt:lpstr>
      <vt:lpstr>פרוט מקורות אחרים </vt:lpstr>
      <vt:lpstr>תרשים מקורות מימון</vt:lpstr>
      <vt:lpstr>הנדסה 2023 </vt:lpstr>
      <vt:lpstr>הנדסה 2023  </vt:lpstr>
      <vt:lpstr>תקציב הנדסה 2023 </vt:lpstr>
      <vt:lpstr>החברה לפיתוח 2023 </vt:lpstr>
      <vt:lpstr>החב. לפיתוח 2023 </vt:lpstr>
      <vt:lpstr>תקציב החברה לפיתוח 2023 </vt:lpstr>
      <vt:lpstr>תקציב החברה לפיתוח 2023 תאור</vt:lpstr>
      <vt:lpstr>מינהל תפעול 2023 </vt:lpstr>
      <vt:lpstr>מינהל תפעול  2023 </vt:lpstr>
      <vt:lpstr>תקציב מינהל תפעול 2023  </vt:lpstr>
      <vt:lpstr>תקציב מינהל תפעול 2023 תאור </vt:lpstr>
      <vt:lpstr>מינהל חינוך 2023 </vt:lpstr>
      <vt:lpstr>תקציב מינהל חינוך 2023 </vt:lpstr>
      <vt:lpstr>אגף תנוס 2023 </vt:lpstr>
      <vt:lpstr>תקציב אגף תנוס 2023  </vt:lpstr>
      <vt:lpstr>החברה לתירות 2023 </vt:lpstr>
      <vt:lpstr>תקציב החברה לתירות 2023 </vt:lpstr>
      <vt:lpstr>אגף תקשוב ומע. מידע 2023 </vt:lpstr>
      <vt:lpstr>תקציב אגף המיחשוב 2023 </vt:lpstr>
      <vt:lpstr>אגף נכסים וביטוח 2023 </vt:lpstr>
      <vt:lpstr>תקציב אגף נכסים וביטוח 2023</vt:lpstr>
      <vt:lpstr>מינהל כללי 2023 </vt:lpstr>
      <vt:lpstr>תקציב מינהל כללי 2023  </vt:lpstr>
      <vt:lpstr>תקציב מינהל כללי 2023  תאור </vt:lpstr>
      <vt:lpstr>תקציב 2022 - ביצוע</vt:lpstr>
      <vt:lpstr>ריכוז אגפים 2022 </vt:lpstr>
      <vt:lpstr>תקציב הנדסה 2022  </vt:lpstr>
      <vt:lpstr>תקציב החברה לפיתוח 2022 </vt:lpstr>
      <vt:lpstr>תקציב מינהל תפעול 2022 </vt:lpstr>
      <vt:lpstr>תקציב אגף חינוך 2022 </vt:lpstr>
      <vt:lpstr>תקציב אגף תנוס 2022 </vt:lpstr>
      <vt:lpstr>תקציב החברה לתירות 2022  </vt:lpstr>
      <vt:lpstr>תקציב אגף המיחשוב 2022 </vt:lpstr>
      <vt:lpstr>תקציב אגף נכסים וביטוח 2022</vt:lpstr>
      <vt:lpstr>תקציב מינהל כללי 2022 </vt:lpstr>
      <vt:lpstr>ריכוז תקציב מעבר לתוכנית 2022 </vt:lpstr>
      <vt:lpstr>פרויקטים החב. לפיתוח </vt:lpstr>
      <vt:lpstr>'פרוט מקורות אחרים '!WPrint_Area_W</vt:lpstr>
      <vt:lpstr>'ריכוז אגפים '!WPrint_Area_W</vt:lpstr>
      <vt:lpstr>'ריכוז אגפים 2022 '!WPrint_Area_W</vt:lpstr>
      <vt:lpstr>'ריכוז פרקים '!WPrint_Area_W</vt:lpstr>
      <vt:lpstr>'ריכוז תקציב מעבר לתוכנית 2022 '!WPrint_Area_W</vt:lpstr>
      <vt:lpstr>'תקציב 2023 קרנות הרשות '!WPrint_Area_W</vt:lpstr>
      <vt:lpstr>'תקציב אגף המיחשוב 2022 '!WPrint_Area_W</vt:lpstr>
      <vt:lpstr>'תקציב אגף המיחשוב 2023 '!WPrint_Area_W</vt:lpstr>
      <vt:lpstr>'תקציב אגף חינוך 2022 '!WPrint_Area_W</vt:lpstr>
      <vt:lpstr>'תקציב אגף נכסים וביטוח 2022'!WPrint_Area_W</vt:lpstr>
      <vt:lpstr>'תקציב אגף נכסים וביטוח 2023'!WPrint_Area_W</vt:lpstr>
      <vt:lpstr>'תקציב אגף תנוס 2022 '!WPrint_Area_W</vt:lpstr>
      <vt:lpstr>'תקציב אגף תנוס 2023  '!WPrint_Area_W</vt:lpstr>
      <vt:lpstr>'תקציב החברה לפיתוח 2022 '!WPrint_Area_W</vt:lpstr>
      <vt:lpstr>'תקציב החברה לפיתוח 2023 '!WPrint_Area_W</vt:lpstr>
      <vt:lpstr>'תקציב החברה לפיתוח 2023 תאור'!WPrint_Area_W</vt:lpstr>
      <vt:lpstr>'תקציב החברה לתירות 2022  '!WPrint_Area_W</vt:lpstr>
      <vt:lpstr>'תקציב החברה לתירות 2023 '!WPrint_Area_W</vt:lpstr>
      <vt:lpstr>'תקציב הנדסה 2022  '!WPrint_Area_W</vt:lpstr>
      <vt:lpstr>'תקציב הנדסה 2023 '!WPrint_Area_W</vt:lpstr>
      <vt:lpstr>'תקציב מינהל חינוך 2023 '!WPrint_Area_W</vt:lpstr>
      <vt:lpstr>'תקציב מינהל כללי 2022 '!WPrint_Area_W</vt:lpstr>
      <vt:lpstr>'תקציב מינהל כללי 2023  '!WPrint_Area_W</vt:lpstr>
      <vt:lpstr>'תקציב מינהל כללי 2023  תאור '!WPrint_Area_W</vt:lpstr>
      <vt:lpstr>'תקציב מינהל תפעול 2022 '!WPrint_Area_W</vt:lpstr>
      <vt:lpstr>'תקציב מינהל תפעול 2023  '!WPrint_Area_W</vt:lpstr>
      <vt:lpstr>'תקציב מינהל תפעול 2023 תאור '!WPrint_Area_W</vt:lpstr>
      <vt:lpstr>'פרויקטים החב. לפיתוח '!WPrint_TitlesW</vt:lpstr>
      <vt:lpstr>'ריכוז אגפים '!WPrint_TitlesW</vt:lpstr>
      <vt:lpstr>'ריכוז אגפים 2022 '!WPrint_TitlesW</vt:lpstr>
      <vt:lpstr>'ריכוז פרקים '!WPrint_TitlesW</vt:lpstr>
      <vt:lpstr>'ריכוז תקציב מעבר לתוכנית 2022 '!WPrint_TitlesW</vt:lpstr>
      <vt:lpstr>'תקציב אגף המיחשוב 2022 '!WPrint_TitlesW</vt:lpstr>
      <vt:lpstr>'תקציב אגף המיחשוב 2023 '!WPrint_TitlesW</vt:lpstr>
      <vt:lpstr>'תקציב אגף חינוך 2022 '!WPrint_TitlesW</vt:lpstr>
      <vt:lpstr>'תקציב אגף נכסים וביטוח 2022'!WPrint_TitlesW</vt:lpstr>
      <vt:lpstr>'תקציב אגף נכסים וביטוח 2023'!WPrint_TitlesW</vt:lpstr>
      <vt:lpstr>'תקציב אגף תנוס 2022 '!WPrint_TitlesW</vt:lpstr>
      <vt:lpstr>'תקציב אגף תנוס 2023  '!WPrint_TitlesW</vt:lpstr>
      <vt:lpstr>'תקציב החברה לפיתוח 2022 '!WPrint_TitlesW</vt:lpstr>
      <vt:lpstr>'תקציב החברה לפיתוח 2023 '!WPrint_TitlesW</vt:lpstr>
      <vt:lpstr>'תקציב החברה לפיתוח 2023 תאור'!WPrint_TitlesW</vt:lpstr>
      <vt:lpstr>'תקציב החברה לתירות 2022  '!WPrint_TitlesW</vt:lpstr>
      <vt:lpstr>'תקציב החברה לתירות 2023 '!WPrint_TitlesW</vt:lpstr>
      <vt:lpstr>'תקציב הנדסה 2022  '!WPrint_TitlesW</vt:lpstr>
      <vt:lpstr>'תקציב הנדסה 2023 '!WPrint_TitlesW</vt:lpstr>
      <vt:lpstr>'תקציב מינהל חינוך 2023 '!WPrint_TitlesW</vt:lpstr>
      <vt:lpstr>'תקציב מינהל כללי 2022 '!WPrint_TitlesW</vt:lpstr>
      <vt:lpstr>'תקציב מינהל כללי 2023  '!WPrint_TitlesW</vt:lpstr>
      <vt:lpstr>'תקציב מינהל כללי 2023  תאור '!WPrint_TitlesW</vt:lpstr>
      <vt:lpstr>'תקציב מינהל תפעול 2022 '!WPrint_TitlesW</vt:lpstr>
      <vt:lpstr>'תקציב מינהל תפעול 2023  '!WPrint_TitlesW</vt:lpstr>
      <vt:lpstr>'תקציב מינהל תפעול 2023 תאור 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Gizbarut-Orna Goldfriend</dc:creator>
  <cp:lastModifiedBy>Gizbarut-Orna Goldfriend</cp:lastModifiedBy>
  <cp:lastPrinted>2022-12-14T05:43:14Z</cp:lastPrinted>
  <dcterms:created xsi:type="dcterms:W3CDTF">2014-10-19T04:47:46Z</dcterms:created>
  <dcterms:modified xsi:type="dcterms:W3CDTF">2022-12-14T05:43:22Z</dcterms:modified>
</cp:coreProperties>
</file>